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eweed\Desktop\"/>
    </mc:Choice>
  </mc:AlternateContent>
  <bookViews>
    <workbookView xWindow="0" yWindow="0" windowWidth="22515" windowHeight="14445"/>
  </bookViews>
  <sheets>
    <sheet name="q-value" sheetId="5" r:id="rId1"/>
    <sheet name="Sheet1" sheetId="6" r:id="rId2"/>
  </sheets>
  <definedNames>
    <definedName name="English">Sheet1!$B$1:$B$12</definedName>
    <definedName name="Metric">Sheet1!$C$1:$C$12</definedName>
    <definedName name="Unit">Sheet1!$A$1:$A$2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4" i="5"/>
  <c r="AA11" i="5" l="1"/>
  <c r="AD11" i="5"/>
  <c r="N10" i="5"/>
  <c r="AF11" i="5"/>
  <c r="AF10" i="5"/>
  <c r="AE10" i="5"/>
  <c r="AB10" i="5"/>
  <c r="AC11" i="5"/>
  <c r="AE11" i="5" l="1"/>
  <c r="C11" i="5"/>
  <c r="C10" i="5"/>
  <c r="C29" i="5" l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H20" i="5" l="1"/>
  <c r="H16" i="5"/>
  <c r="H13" i="5"/>
  <c r="H10" i="5"/>
  <c r="B19" i="5" l="1"/>
  <c r="AF21" i="5" s="1"/>
  <c r="D30" i="5" l="1"/>
  <c r="Z11" i="5" l="1"/>
  <c r="Y11" i="5"/>
  <c r="X11" i="5"/>
  <c r="W11" i="5"/>
  <c r="V11" i="5"/>
  <c r="U11" i="5"/>
  <c r="T11" i="5"/>
  <c r="S11" i="5"/>
  <c r="R11" i="5"/>
  <c r="Q11" i="5"/>
  <c r="P11" i="5"/>
  <c r="O11" i="5"/>
  <c r="N11" i="5"/>
  <c r="F9" i="5"/>
  <c r="E9" i="5"/>
  <c r="D9" i="5"/>
  <c r="C9" i="5"/>
  <c r="B9" i="5"/>
  <c r="AD30" i="5" l="1"/>
  <c r="AD31" i="5"/>
  <c r="AB11" i="5"/>
  <c r="B29" i="5"/>
  <c r="B28" i="5"/>
  <c r="AF30" i="5" s="1"/>
  <c r="B27" i="5"/>
  <c r="AF29" i="5" s="1"/>
  <c r="B26" i="5"/>
  <c r="AF28" i="5" s="1"/>
  <c r="B25" i="5"/>
  <c r="AF27" i="5" s="1"/>
  <c r="B24" i="5"/>
  <c r="AF26" i="5" s="1"/>
  <c r="B23" i="5"/>
  <c r="AF25" i="5" s="1"/>
  <c r="B22" i="5"/>
  <c r="AF24" i="5" s="1"/>
  <c r="B21" i="5"/>
  <c r="AF23" i="5" s="1"/>
  <c r="B20" i="5"/>
  <c r="B18" i="5"/>
  <c r="AF20" i="5" s="1"/>
  <c r="B17" i="5"/>
  <c r="AF19" i="5" s="1"/>
  <c r="B16" i="5"/>
  <c r="B15" i="5"/>
  <c r="AF17" i="5" s="1"/>
  <c r="B14" i="5"/>
  <c r="AF16" i="5" s="1"/>
  <c r="B13" i="5"/>
  <c r="B12" i="5"/>
  <c r="AF14" i="5" s="1"/>
  <c r="B11" i="5"/>
  <c r="AF13" i="5" s="1"/>
  <c r="B10" i="5"/>
  <c r="AF12" i="5" s="1"/>
  <c r="AF15" i="5" l="1"/>
  <c r="E13" i="5"/>
  <c r="AF22" i="5"/>
  <c r="E20" i="5"/>
  <c r="AF18" i="5"/>
  <c r="E16" i="5"/>
  <c r="AF31" i="5"/>
  <c r="E10" i="5"/>
  <c r="M12" i="5"/>
  <c r="M13" i="5"/>
  <c r="M14" i="5"/>
  <c r="M16" i="5"/>
  <c r="M18" i="5"/>
  <c r="M20" i="5"/>
  <c r="M22" i="5"/>
  <c r="M24" i="5"/>
  <c r="M26" i="5"/>
  <c r="M28" i="5"/>
  <c r="M30" i="5"/>
  <c r="M15" i="5"/>
  <c r="M17" i="5"/>
  <c r="M19" i="5"/>
  <c r="M21" i="5"/>
  <c r="M23" i="5"/>
  <c r="M25" i="5"/>
  <c r="M27" i="5"/>
  <c r="M29" i="5"/>
  <c r="M31" i="5"/>
  <c r="AF32" i="5" l="1"/>
  <c r="P29" i="5"/>
  <c r="O30" i="5"/>
  <c r="E30" i="5"/>
  <c r="Y12" i="5"/>
  <c r="Y19" i="5"/>
  <c r="Y17" i="5"/>
  <c r="Y20" i="5"/>
  <c r="Y18" i="5"/>
  <c r="Y16" i="5"/>
  <c r="Y14" i="5"/>
  <c r="X20" i="5"/>
  <c r="X18" i="5"/>
  <c r="X16" i="5"/>
  <c r="X14" i="5"/>
  <c r="X12" i="5"/>
  <c r="W21" i="5"/>
  <c r="W19" i="5"/>
  <c r="W17" i="5"/>
  <c r="W15" i="5"/>
  <c r="W13" i="5"/>
  <c r="V23" i="5"/>
  <c r="V21" i="5"/>
  <c r="V19" i="5"/>
  <c r="V17" i="5"/>
  <c r="V15" i="5"/>
  <c r="V13" i="5"/>
  <c r="O13" i="5"/>
  <c r="U23" i="5"/>
  <c r="U21" i="5"/>
  <c r="U19" i="5"/>
  <c r="U17" i="5"/>
  <c r="U15" i="5"/>
  <c r="U13" i="5"/>
  <c r="T12" i="5"/>
  <c r="T24" i="5"/>
  <c r="T22" i="5"/>
  <c r="T20" i="5"/>
  <c r="T18" i="5"/>
  <c r="T16" i="5"/>
  <c r="T14" i="5"/>
  <c r="S25" i="5"/>
  <c r="S23" i="5"/>
  <c r="S21" i="5"/>
  <c r="S19" i="5"/>
  <c r="S17" i="5"/>
  <c r="S15" i="5"/>
  <c r="S13" i="5"/>
  <c r="S26" i="5"/>
  <c r="R26" i="5"/>
  <c r="R24" i="5"/>
  <c r="R22" i="5"/>
  <c r="R20" i="5"/>
  <c r="R18" i="5"/>
  <c r="R16" i="5"/>
  <c r="R14" i="5"/>
  <c r="R27" i="5"/>
  <c r="Q26" i="5"/>
  <c r="Q24" i="5"/>
  <c r="Q22" i="5"/>
  <c r="Q20" i="5"/>
  <c r="Q18" i="5"/>
  <c r="Q16" i="5"/>
  <c r="Q14" i="5"/>
  <c r="Q12" i="5"/>
  <c r="AD29" i="5"/>
  <c r="Y13" i="5"/>
  <c r="X19" i="5"/>
  <c r="X15" i="5"/>
  <c r="W20" i="5"/>
  <c r="W16" i="5"/>
  <c r="W12" i="5"/>
  <c r="V20" i="5"/>
  <c r="V16" i="5"/>
  <c r="V12" i="5"/>
  <c r="U22" i="5"/>
  <c r="U18" i="5"/>
  <c r="U14" i="5"/>
  <c r="T25" i="5"/>
  <c r="T21" i="5"/>
  <c r="T17" i="5"/>
  <c r="T13" i="5"/>
  <c r="S22" i="5"/>
  <c r="S18" i="5"/>
  <c r="S14" i="5"/>
  <c r="R12" i="5"/>
  <c r="R23" i="5"/>
  <c r="R19" i="5"/>
  <c r="R15" i="5"/>
  <c r="Q27" i="5"/>
  <c r="Q23" i="5"/>
  <c r="Q19" i="5"/>
  <c r="Q15" i="5"/>
  <c r="Q28" i="5"/>
  <c r="Y15" i="5"/>
  <c r="X21" i="5"/>
  <c r="X17" i="5"/>
  <c r="X13" i="5"/>
  <c r="W22" i="5"/>
  <c r="W18" i="5"/>
  <c r="W14" i="5"/>
  <c r="V22" i="5"/>
  <c r="V18" i="5"/>
  <c r="V14" i="5"/>
  <c r="U24" i="5"/>
  <c r="U20" i="5"/>
  <c r="U16" i="5"/>
  <c r="U12" i="5"/>
  <c r="T23" i="5"/>
  <c r="T19" i="5"/>
  <c r="T15" i="5"/>
  <c r="S24" i="5"/>
  <c r="S20" i="5"/>
  <c r="S16" i="5"/>
  <c r="S12" i="5"/>
  <c r="R25" i="5"/>
  <c r="R21" i="5"/>
  <c r="R17" i="5"/>
  <c r="R13" i="5"/>
  <c r="Q25" i="5"/>
  <c r="Q21" i="5"/>
  <c r="Q17" i="5"/>
  <c r="Q13" i="5"/>
  <c r="P26" i="5"/>
  <c r="AD26" i="5" s="1"/>
  <c r="P24" i="5"/>
  <c r="AD24" i="5" s="1"/>
  <c r="P22" i="5"/>
  <c r="AD22" i="5" s="1"/>
  <c r="P20" i="5"/>
  <c r="P18" i="5"/>
  <c r="P16" i="5"/>
  <c r="P14" i="5"/>
  <c r="P12" i="5"/>
  <c r="O12" i="5"/>
  <c r="O14" i="5"/>
  <c r="O16" i="5"/>
  <c r="O18" i="5"/>
  <c r="O20" i="5"/>
  <c r="O22" i="5"/>
  <c r="O24" i="5"/>
  <c r="O26" i="5"/>
  <c r="O28" i="5"/>
  <c r="P27" i="5"/>
  <c r="AD27" i="5" s="1"/>
  <c r="P25" i="5"/>
  <c r="AD25" i="5" s="1"/>
  <c r="P23" i="5"/>
  <c r="AD23" i="5" s="1"/>
  <c r="P21" i="5"/>
  <c r="AD21" i="5" s="1"/>
  <c r="P19" i="5"/>
  <c r="P17" i="5"/>
  <c r="P15" i="5"/>
  <c r="P13" i="5"/>
  <c r="P28" i="5"/>
  <c r="AD28" i="5" s="1"/>
  <c r="O15" i="5"/>
  <c r="O17" i="5"/>
  <c r="O19" i="5"/>
  <c r="O21" i="5"/>
  <c r="O23" i="5"/>
  <c r="O25" i="5"/>
  <c r="O27" i="5"/>
  <c r="O29" i="5"/>
  <c r="M32" i="5"/>
  <c r="F20" i="5" l="1"/>
  <c r="G20" i="5" s="1"/>
  <c r="F13" i="5"/>
  <c r="F16" i="5"/>
  <c r="F10" i="5"/>
  <c r="G10" i="5" s="1"/>
  <c r="I10" i="5" s="1"/>
  <c r="N12" i="5"/>
  <c r="N31" i="5"/>
  <c r="AD15" i="5"/>
  <c r="AD13" i="5"/>
  <c r="AD14" i="5"/>
  <c r="AD18" i="5"/>
  <c r="AD17" i="5"/>
  <c r="AD16" i="5"/>
  <c r="AD20" i="5"/>
  <c r="AD19" i="5"/>
  <c r="AD12" i="5"/>
  <c r="AA12" i="5"/>
  <c r="AC12" i="5"/>
  <c r="AE12" i="5" s="1"/>
  <c r="Z12" i="5"/>
  <c r="U32" i="5"/>
  <c r="O32" i="5"/>
  <c r="R32" i="5"/>
  <c r="P32" i="5"/>
  <c r="S32" i="5"/>
  <c r="V32" i="5"/>
  <c r="Q32" i="5"/>
  <c r="T32" i="5"/>
  <c r="Y32" i="5"/>
  <c r="N16" i="5"/>
  <c r="AA16" i="5" s="1"/>
  <c r="N14" i="5"/>
  <c r="AA14" i="5" s="1"/>
  <c r="AC31" i="5"/>
  <c r="N13" i="5"/>
  <c r="N15" i="5"/>
  <c r="AA15" i="5" s="1"/>
  <c r="N17" i="5"/>
  <c r="AA17" i="5" s="1"/>
  <c r="N18" i="5"/>
  <c r="AA18" i="5" s="1"/>
  <c r="N20" i="5"/>
  <c r="AA20" i="5" s="1"/>
  <c r="N22" i="5"/>
  <c r="AA22" i="5" s="1"/>
  <c r="N24" i="5"/>
  <c r="AA24" i="5" s="1"/>
  <c r="N26" i="5"/>
  <c r="AA26" i="5" s="1"/>
  <c r="N28" i="5"/>
  <c r="N30" i="5"/>
  <c r="N19" i="5"/>
  <c r="AA19" i="5" s="1"/>
  <c r="N21" i="5"/>
  <c r="AA21" i="5" s="1"/>
  <c r="N23" i="5"/>
  <c r="AA23" i="5" s="1"/>
  <c r="N25" i="5"/>
  <c r="AA25" i="5" s="1"/>
  <c r="N27" i="5"/>
  <c r="N29" i="5"/>
  <c r="AC16" i="5" l="1"/>
  <c r="AC18" i="5"/>
  <c r="AC25" i="5"/>
  <c r="AC21" i="5"/>
  <c r="AC15" i="5"/>
  <c r="AC22" i="5"/>
  <c r="AA27" i="5"/>
  <c r="AC27" i="5"/>
  <c r="AA28" i="5"/>
  <c r="AC28" i="5"/>
  <c r="AC23" i="5"/>
  <c r="AA29" i="5"/>
  <c r="AC29" i="5"/>
  <c r="AE29" i="5" s="1"/>
  <c r="AA30" i="5"/>
  <c r="AC30" i="5"/>
  <c r="AC20" i="5"/>
  <c r="AC19" i="5"/>
  <c r="AC13" i="5"/>
  <c r="AC14" i="5"/>
  <c r="AC17" i="5"/>
  <c r="AC24" i="5"/>
  <c r="AC26" i="5"/>
  <c r="G16" i="5"/>
  <c r="I16" i="5" s="1"/>
  <c r="I20" i="5"/>
  <c r="Z20" i="5"/>
  <c r="AA13" i="5"/>
  <c r="Z31" i="5"/>
  <c r="AA31" i="5"/>
  <c r="AB12" i="5"/>
  <c r="Z29" i="5"/>
  <c r="Z25" i="5"/>
  <c r="Z21" i="5"/>
  <c r="Z30" i="5"/>
  <c r="Z26" i="5"/>
  <c r="Z22" i="5"/>
  <c r="Z18" i="5"/>
  <c r="Z15" i="5"/>
  <c r="Z16" i="5"/>
  <c r="Z27" i="5"/>
  <c r="Z23" i="5"/>
  <c r="Z19" i="5"/>
  <c r="Z28" i="5"/>
  <c r="Z24" i="5"/>
  <c r="Z17" i="5"/>
  <c r="Z13" i="5"/>
  <c r="Z14" i="5"/>
  <c r="N32" i="5"/>
  <c r="AB24" i="5" l="1"/>
  <c r="AE24" i="5"/>
  <c r="AB19" i="5"/>
  <c r="AE19" i="5"/>
  <c r="AB27" i="5"/>
  <c r="AE27" i="5"/>
  <c r="AB15" i="5"/>
  <c r="AE15" i="5"/>
  <c r="AB22" i="5"/>
  <c r="AE22" i="5"/>
  <c r="AB30" i="5"/>
  <c r="AE30" i="5"/>
  <c r="AB25" i="5"/>
  <c r="AE25" i="5"/>
  <c r="AB20" i="5"/>
  <c r="AE20" i="5"/>
  <c r="AB14" i="5"/>
  <c r="AE14" i="5"/>
  <c r="AB17" i="5"/>
  <c r="AE17" i="5"/>
  <c r="AB28" i="5"/>
  <c r="AE28" i="5"/>
  <c r="AB23" i="5"/>
  <c r="AE23" i="5"/>
  <c r="AB16" i="5"/>
  <c r="AE16" i="5"/>
  <c r="AB18" i="5"/>
  <c r="AE18" i="5"/>
  <c r="AB26" i="5"/>
  <c r="AE26" i="5"/>
  <c r="AB21" i="5"/>
  <c r="AE21" i="5"/>
  <c r="AB29" i="5"/>
  <c r="AB13" i="5"/>
  <c r="AE13" i="5" s="1"/>
  <c r="W32" i="5"/>
  <c r="X32" i="5"/>
  <c r="F30" i="5"/>
  <c r="AB31" i="5"/>
  <c r="AE31" i="5" s="1"/>
  <c r="G13" i="5"/>
  <c r="I13" i="5" s="1"/>
  <c r="AE32" i="5" l="1"/>
</calcChain>
</file>

<file path=xl/comments1.xml><?xml version="1.0" encoding="utf-8"?>
<comments xmlns="http://schemas.openxmlformats.org/spreadsheetml/2006/main">
  <authors>
    <author>Ferhat Kara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Select your unit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Select target largest diameter tree  (LDT). If the unit is english; LDT must be one of the 2-inc diameter classes between 18 and 40 inches. If unit is metric, LDT must be one of the 5-cm diameter classes between 45 and 100 cm.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Put your residual basal area (RBA); square feet per acre for English unit, or square meter per ha for Metric unit.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Put a q-value.
</t>
        </r>
      </text>
    </comment>
  </commentList>
</comments>
</file>

<file path=xl/sharedStrings.xml><?xml version="1.0" encoding="utf-8"?>
<sst xmlns="http://schemas.openxmlformats.org/spreadsheetml/2006/main" count="18" uniqueCount="13">
  <si>
    <t>q-value</t>
  </si>
  <si>
    <t>Fraction of the Removal</t>
  </si>
  <si>
    <t>Marking Guide</t>
  </si>
  <si>
    <t>English</t>
  </si>
  <si>
    <t>Formula</t>
  </si>
  <si>
    <t>Diameter Distribution after Harvest</t>
  </si>
  <si>
    <t>Average</t>
  </si>
  <si>
    <t>Basal Area Distribution after Harvest</t>
  </si>
  <si>
    <t>Basal Area Distribution before Harvest</t>
  </si>
  <si>
    <t>If English</t>
  </si>
  <si>
    <t>If Metric</t>
  </si>
  <si>
    <t>Metric</t>
  </si>
  <si>
    <t>Select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</si>
</sst>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1" fontId="8" fillId="4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7" fillId="4" borderId="21" xfId="0" applyFont="1" applyFill="1" applyBorder="1" applyAlignment="1" applyProtection="1">
      <alignment horizontal="center"/>
      <protection hidden="1"/>
    </xf>
    <xf numFmtId="0" fontId="0" fillId="4" borderId="2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Fill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164" fontId="11" fillId="0" borderId="0" xfId="0" applyNumberFormat="1" applyFont="1" applyProtection="1">
      <protection hidden="1"/>
    </xf>
    <xf numFmtId="164" fontId="12" fillId="0" borderId="0" xfId="0" applyNumberFormat="1" applyFont="1" applyProtection="1">
      <protection hidden="1"/>
    </xf>
    <xf numFmtId="164" fontId="15" fillId="0" borderId="0" xfId="0" applyNumberFormat="1" applyFont="1" applyProtection="1">
      <protection hidden="1"/>
    </xf>
    <xf numFmtId="164" fontId="16" fillId="0" borderId="0" xfId="0" applyNumberFormat="1" applyFont="1" applyProtection="1">
      <protection hidden="1"/>
    </xf>
    <xf numFmtId="164" fontId="13" fillId="0" borderId="0" xfId="0" applyNumberFormat="1" applyFont="1" applyProtection="1">
      <protection hidden="1"/>
    </xf>
    <xf numFmtId="164" fontId="14" fillId="0" borderId="0" xfId="0" applyNumberFormat="1" applyFont="1" applyProtection="1"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1" fillId="3" borderId="0" xfId="0" applyFont="1" applyFill="1"/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2" fontId="6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23" xfId="0" applyFont="1" applyFill="1" applyBorder="1" applyAlignment="1" applyProtection="1">
      <alignment horizontal="center" vertical="center" wrapText="1"/>
      <protection hidden="1"/>
    </xf>
    <xf numFmtId="0" fontId="0" fillId="4" borderId="26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23" xfId="0" applyFont="1" applyFill="1" applyBorder="1" applyAlignment="1" applyProtection="1">
      <alignment horizontal="center" vertical="center" wrapText="1"/>
      <protection hidden="1"/>
    </xf>
    <xf numFmtId="0" fontId="17" fillId="4" borderId="24" xfId="0" applyFont="1" applyFill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2" fontId="6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2" fontId="17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Current and</a:t>
            </a:r>
            <a:r>
              <a:rPr lang="en-US" b="0" baseline="0"/>
              <a:t> target s</a:t>
            </a:r>
            <a:r>
              <a:rPr lang="en-US" b="0"/>
              <a:t>tand structure by diameter size-classes </a:t>
            </a:r>
          </a:p>
        </c:rich>
      </c:tx>
      <c:layout>
        <c:manualLayout>
          <c:xMode val="edge"/>
          <c:yMode val="edge"/>
          <c:x val="0.21819888179718749"/>
          <c:y val="4.1455942230669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314774746641092E-2"/>
          <c:y val="2.1753096652392136E-2"/>
          <c:w val="0.90532369714408933"/>
          <c:h val="0.87099249435925774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stand structure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'q-value'!$B$10:$B$29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cat>
          <c:val>
            <c:numRef>
              <c:f>'q-value'!$D$10:$D$29</c:f>
              <c:numCache>
                <c:formatCode>General</c:formatCode>
                <c:ptCount val="20"/>
                <c:pt idx="0">
                  <c:v>27</c:v>
                </c:pt>
                <c:pt idx="1">
                  <c:v>15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16</c:v>
                </c:pt>
                <c:pt idx="6">
                  <c:v>19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B-45CC-89C1-B82386E473CB}"/>
            </c:ext>
          </c:extLst>
        </c:ser>
        <c:ser>
          <c:idx val="1"/>
          <c:order val="1"/>
          <c:tx>
            <c:v>Target stand structure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'q-value'!$B$10:$B$29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cat>
          <c:val>
            <c:numRef>
              <c:f>'q-value'!$AB$12:$AB$31</c:f>
              <c:numCache>
                <c:formatCode>0.0</c:formatCode>
                <c:ptCount val="20"/>
                <c:pt idx="0">
                  <c:v>36.745311055244152</c:v>
                </c:pt>
                <c:pt idx="1">
                  <c:v>28.265623888649348</c:v>
                </c:pt>
                <c:pt idx="2">
                  <c:v>21.742787606653344</c:v>
                </c:pt>
                <c:pt idx="3">
                  <c:v>16.725221235887187</c:v>
                </c:pt>
                <c:pt idx="4">
                  <c:v>12.865554796836298</c:v>
                </c:pt>
                <c:pt idx="5">
                  <c:v>9.8965806129509968</c:v>
                </c:pt>
                <c:pt idx="6">
                  <c:v>7.6127543176546135</c:v>
                </c:pt>
                <c:pt idx="7">
                  <c:v>5.8559648597343168</c:v>
                </c:pt>
                <c:pt idx="8">
                  <c:v>4.5045883536417826</c:v>
                </c:pt>
                <c:pt idx="9">
                  <c:v>3.4650679643398323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B-45CC-89C1-B82386E4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5"/>
        <c:axId val="452136008"/>
        <c:axId val="452136400"/>
      </c:barChart>
      <c:catAx>
        <c:axId val="452136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 classes</a:t>
                </a:r>
              </a:p>
            </c:rich>
          </c:tx>
          <c:layout>
            <c:manualLayout>
              <c:xMode val="edge"/>
              <c:yMode val="edge"/>
              <c:x val="0.46956961180957352"/>
              <c:y val="0.94233218216144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36400"/>
        <c:crosses val="autoZero"/>
        <c:auto val="1"/>
        <c:lblAlgn val="ctr"/>
        <c:lblOffset val="100"/>
        <c:noMultiLvlLbl val="0"/>
      </c:catAx>
      <c:valAx>
        <c:axId val="45213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trees per unit area</a:t>
                </a:r>
              </a:p>
            </c:rich>
          </c:tx>
          <c:layout>
            <c:manualLayout>
              <c:xMode val="edge"/>
              <c:yMode val="edge"/>
              <c:x val="7.4474658601557013E-3"/>
              <c:y val="0.33920917717904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36008"/>
        <c:crossesAt val="1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3257930386442776"/>
          <c:y val="0.25123099500716373"/>
          <c:w val="0.39005409938229135"/>
          <c:h val="0.10031980332833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Current and target b</a:t>
            </a:r>
            <a:r>
              <a:rPr lang="en-US" b="0"/>
              <a:t>asal area by diameter size-classes</a:t>
            </a:r>
          </a:p>
        </c:rich>
      </c:tx>
      <c:layout>
        <c:manualLayout>
          <c:xMode val="edge"/>
          <c:yMode val="edge"/>
          <c:x val="0.17158393799484778"/>
          <c:y val="4.2492357233002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314774746641092E-2"/>
          <c:y val="2.1753096652392136E-2"/>
          <c:w val="0.90532369714408933"/>
          <c:h val="0.87099249435925774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basal area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'q-value'!$B$10:$B$29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cat>
          <c:val>
            <c:numRef>
              <c:f>'q-value'!$AF$12:$AF$31</c:f>
              <c:numCache>
                <c:formatCode>0.00</c:formatCode>
                <c:ptCount val="20"/>
                <c:pt idx="0">
                  <c:v>0.58904863200000002</c:v>
                </c:pt>
                <c:pt idx="1">
                  <c:v>1.30899696</c:v>
                </c:pt>
                <c:pt idx="2">
                  <c:v>4.3196899680000005</c:v>
                </c:pt>
                <c:pt idx="3">
                  <c:v>8.3775805440000006</c:v>
                </c:pt>
                <c:pt idx="4">
                  <c:v>13.0899696</c:v>
                </c:pt>
                <c:pt idx="5">
                  <c:v>12.566370816000001</c:v>
                </c:pt>
                <c:pt idx="6">
                  <c:v>20.311269496000001</c:v>
                </c:pt>
                <c:pt idx="7">
                  <c:v>8.3775805440000006</c:v>
                </c:pt>
                <c:pt idx="8">
                  <c:v>5.301437688</c:v>
                </c:pt>
                <c:pt idx="9">
                  <c:v>2.1816616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6-4DB3-A0EA-8A2486761BA7}"/>
            </c:ext>
          </c:extLst>
        </c:ser>
        <c:ser>
          <c:idx val="1"/>
          <c:order val="1"/>
          <c:tx>
            <c:v>Target basal 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'q-value'!$B$10:$B$29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cat>
          <c:val>
            <c:numRef>
              <c:f>'q-value'!$AE$12:$AE$31</c:f>
              <c:numCache>
                <c:formatCode>0.0</c:formatCode>
                <c:ptCount val="20"/>
                <c:pt idx="0">
                  <c:v>0.80165834109281642</c:v>
                </c:pt>
                <c:pt idx="1">
                  <c:v>2.4666410495163582</c:v>
                </c:pt>
                <c:pt idx="2">
                  <c:v>4.2691864318552355</c:v>
                </c:pt>
                <c:pt idx="3">
                  <c:v>5.8382036674943389</c:v>
                </c:pt>
                <c:pt idx="4">
                  <c:v>7.0170717157383882</c:v>
                </c:pt>
                <c:pt idx="5">
                  <c:v>7.7727563620486757</c:v>
                </c:pt>
                <c:pt idx="6">
                  <c:v>8.1381423448800234</c:v>
                </c:pt>
                <c:pt idx="7">
                  <c:v>8.1764695458763175</c:v>
                </c:pt>
                <c:pt idx="8">
                  <c:v>7.9602648223074723</c:v>
                </c:pt>
                <c:pt idx="9">
                  <c:v>7.5596057191903814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6-4DB3-A0EA-8A2486761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5"/>
        <c:axId val="452137184"/>
        <c:axId val="452137576"/>
      </c:barChart>
      <c:catAx>
        <c:axId val="45213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 classes</a:t>
                </a:r>
              </a:p>
            </c:rich>
          </c:tx>
          <c:layout>
            <c:manualLayout>
              <c:xMode val="edge"/>
              <c:yMode val="edge"/>
              <c:x val="0.46956961180957352"/>
              <c:y val="0.94233218216144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37576"/>
        <c:crosses val="autoZero"/>
        <c:auto val="1"/>
        <c:lblAlgn val="ctr"/>
        <c:lblOffset val="100"/>
        <c:noMultiLvlLbl val="0"/>
      </c:catAx>
      <c:valAx>
        <c:axId val="4521375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Basal area per unit area</a:t>
                </a:r>
              </a:p>
            </c:rich>
          </c:tx>
          <c:layout>
            <c:manualLayout>
              <c:xMode val="edge"/>
              <c:yMode val="edge"/>
              <c:x val="1.6120502603464344E-3"/>
              <c:y val="0.33920930051123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37184"/>
        <c:crossesAt val="1"/>
        <c:crossBetween val="between"/>
        <c:majorUnit val="2.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8918608220132374"/>
          <c:y val="0.28386404511092628"/>
          <c:w val="0.33983658956103019"/>
          <c:h val="8.4402828024875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300036</xdr:colOff>
      <xdr:row>7</xdr:row>
      <xdr:rowOff>158751</xdr:rowOff>
    </xdr:from>
    <xdr:to>
      <xdr:col>25</xdr:col>
      <xdr:colOff>294744</xdr:colOff>
      <xdr:row>31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294748</xdr:colOff>
      <xdr:row>7</xdr:row>
      <xdr:rowOff>158749</xdr:rowOff>
    </xdr:from>
    <xdr:to>
      <xdr:col>34</xdr:col>
      <xdr:colOff>514352</xdr:colOff>
      <xdr:row>31</xdr:row>
      <xdr:rowOff>158749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82"/>
  <sheetViews>
    <sheetView tabSelected="1" zoomScale="90" zoomScaleNormal="90" workbookViewId="0">
      <selection activeCell="E10" sqref="E10:E12"/>
    </sheetView>
  </sheetViews>
  <sheetFormatPr defaultRowHeight="15" x14ac:dyDescent="0.25"/>
  <cols>
    <col min="1" max="1" width="3.5703125" style="7" customWidth="1"/>
    <col min="2" max="2" width="18.28515625" style="2" customWidth="1"/>
    <col min="3" max="3" width="11.42578125" style="7" customWidth="1"/>
    <col min="4" max="4" width="13.140625" style="2" customWidth="1"/>
    <col min="5" max="5" width="16.28515625" style="7" customWidth="1"/>
    <col min="6" max="6" width="16.140625" style="7" customWidth="1"/>
    <col min="7" max="7" width="11" style="7" customWidth="1"/>
    <col min="8" max="8" width="17.28515625" style="7" customWidth="1"/>
    <col min="9" max="9" width="9.140625" style="7"/>
    <col min="10" max="10" width="9.140625" style="7" customWidth="1"/>
    <col min="11" max="11" width="7.140625" style="7" customWidth="1"/>
    <col min="12" max="12" width="9.140625" style="7"/>
    <col min="13" max="13" width="8.5703125" style="7" customWidth="1"/>
    <col min="14" max="14" width="7.140625" style="7" customWidth="1"/>
    <col min="15" max="17" width="6" style="7" bestFit="1" customWidth="1"/>
    <col min="18" max="18" width="6" style="7" customWidth="1"/>
    <col min="19" max="20" width="5.7109375" style="7" customWidth="1"/>
    <col min="21" max="21" width="6.7109375" style="7" customWidth="1"/>
    <col min="22" max="22" width="6.140625" style="7" customWidth="1"/>
    <col min="23" max="25" width="4.5703125" style="7" bestFit="1" customWidth="1"/>
    <col min="26" max="26" width="9.85546875" style="7" customWidth="1"/>
    <col min="27" max="27" width="9.140625" style="7"/>
    <col min="28" max="28" width="10.28515625" style="7" customWidth="1"/>
    <col min="29" max="29" width="8.85546875" style="7" customWidth="1"/>
    <col min="30" max="30" width="9.7109375" style="7" customWidth="1"/>
    <col min="31" max="32" width="10.42578125" style="7" customWidth="1"/>
    <col min="33" max="77" width="9.140625" style="7"/>
    <col min="78" max="16384" width="9.140625" style="2"/>
  </cols>
  <sheetData>
    <row r="1" spans="2:32" x14ac:dyDescent="0.25">
      <c r="B1" s="7"/>
      <c r="D1" s="7"/>
    </row>
    <row r="2" spans="2:32" ht="8.25" customHeight="1" x14ac:dyDescent="0.25">
      <c r="B2" s="7"/>
      <c r="D2" s="7"/>
    </row>
    <row r="3" spans="2:32" x14ac:dyDescent="0.25">
      <c r="B3" s="40" t="s">
        <v>12</v>
      </c>
      <c r="C3" s="1" t="s">
        <v>3</v>
      </c>
      <c r="D3" s="7"/>
      <c r="E3" s="26"/>
      <c r="F3" s="27"/>
      <c r="I3" s="26"/>
      <c r="J3" s="27"/>
    </row>
    <row r="4" spans="2:32" x14ac:dyDescent="0.25">
      <c r="B4" s="40" t="str">
        <f>IF($C$3="English","Select LDT (inches)",IF($C$3="Metric","Select LDT (cm)"))</f>
        <v>Select LDT (inches)</v>
      </c>
      <c r="C4" s="1">
        <v>20</v>
      </c>
      <c r="D4" s="39"/>
      <c r="E4" s="26"/>
      <c r="F4" s="27"/>
      <c r="I4" s="26"/>
      <c r="J4" s="27"/>
    </row>
    <row r="5" spans="2:32" x14ac:dyDescent="0.25">
      <c r="B5" s="41" t="str">
        <f>IF($C$3="English","RBA (sq ft/ac)",IF($C$3="Metric","RBA (sq meter/ha)"))</f>
        <v>RBA (sq ft/ac)</v>
      </c>
      <c r="C5" s="1">
        <v>60</v>
      </c>
      <c r="D5" s="7"/>
      <c r="E5" s="27"/>
      <c r="F5" s="28"/>
      <c r="I5" s="28"/>
      <c r="J5" s="28"/>
    </row>
    <row r="6" spans="2:32" x14ac:dyDescent="0.25">
      <c r="B6" s="40" t="s">
        <v>0</v>
      </c>
      <c r="C6" s="1">
        <v>1.3</v>
      </c>
      <c r="D6" s="7"/>
      <c r="E6" s="27"/>
      <c r="F6" s="28"/>
    </row>
    <row r="7" spans="2:32" x14ac:dyDescent="0.25">
      <c r="B7" s="7"/>
      <c r="C7" s="25"/>
      <c r="D7" s="7"/>
    </row>
    <row r="8" spans="2:32" x14ac:dyDescent="0.25">
      <c r="B8" s="7"/>
      <c r="D8" s="7"/>
    </row>
    <row r="9" spans="2:32" ht="71.25" customHeight="1" x14ac:dyDescent="0.25">
      <c r="B9" s="6" t="str">
        <f>IF($C$3="English","Diameter Size Class (inches)",IF($C$3="Metric","Diameter Size Class (cm)"))</f>
        <v>Diameter Size Class (inches)</v>
      </c>
      <c r="C9" s="6" t="str">
        <f>IF($C$3="English","Diameter Range (inches)",IF($C$3="Metric","Diameter Range (cm)"))</f>
        <v>Diameter Range (inches)</v>
      </c>
      <c r="D9" s="6" t="str">
        <f>IF($C$3="English","Species Density (trees/acre)",IF($C$3="Metric","Species Density (trees/hectare)"))</f>
        <v>Species Density (trees/acre)</v>
      </c>
      <c r="E9" s="6" t="str">
        <f>IF($C$3="English","Aggregated Current BA for Product Classes (sq feet/acre)",IF($C$3="Metric","Aggregated Current BA for Product Classes (sq meter/hectare)"))</f>
        <v>Aggregated Current BA for Product Classes (sq feet/acre)</v>
      </c>
      <c r="F9" s="6" t="str">
        <f>IF($C$3="English","Aggregated Target BA for Product Classes (sq feet/acre)",IF($C$3="Metric","Aggregated Target BA for Product Classes (sq meter/hectare)"))</f>
        <v>Aggregated Target BA for Product Classes (sq feet/acre)</v>
      </c>
      <c r="G9" s="6" t="s">
        <v>1</v>
      </c>
      <c r="H9" s="68" t="s">
        <v>2</v>
      </c>
      <c r="I9" s="69"/>
      <c r="J9" s="69"/>
      <c r="K9" s="70"/>
      <c r="Z9" s="43" t="s">
        <v>5</v>
      </c>
      <c r="AA9" s="43"/>
      <c r="AB9" s="8" t="s">
        <v>5</v>
      </c>
      <c r="AC9" s="43" t="s">
        <v>7</v>
      </c>
      <c r="AD9" s="43"/>
      <c r="AE9" s="8" t="s">
        <v>7</v>
      </c>
      <c r="AF9" s="8" t="s">
        <v>8</v>
      </c>
    </row>
    <row r="10" spans="2:32" ht="15" customHeight="1" x14ac:dyDescent="0.25">
      <c r="B10" s="9">
        <f>IF($C$3="Metric",5,IF($C$3="English",2))</f>
        <v>2</v>
      </c>
      <c r="C10" s="10" t="str">
        <f>IF($C$3="English","0 - 3",IF($C$3="Metric","0 - 7.5 "))</f>
        <v>0 - 3</v>
      </c>
      <c r="D10" s="3">
        <v>27</v>
      </c>
      <c r="E10" s="58">
        <f>IF($C$3="English",(B10*B10*0.005454154*D10)+(B11*B11*0.005454154*D11)+(B12*B12*0.005454154*D12),IF($C$3="Metric",(B10*B10*0.0000785398*D10)+(B11*B11*0.0000785398*D11)+(B12*B12*0.0000785398*D12),""))</f>
        <v>6.2177355600000004</v>
      </c>
      <c r="F10" s="58">
        <f>IF($C$4=$B$29,SUM(N12:N14),IF($C$4=$B$28,SUM(O12:O14),IF($C$4=$B$27,SUM(P12:P14),IF($C$4=$B$26,SUM(Q12:Q14),IF($C$4=$B$25,SUM(R12:R14),IF($C$4=$B$24,SUM(S12:S14),IF($C$4=$B$23,SUM(T12:T14),IF($C$4=$B$22,SUM(U12:U14),IF($C$4=$B$21,SUM(V12:V14),IF($C$4=$B$20,SUM(W12:W14),IF($C$4=$B$19,SUM(X12:X14),IF($C$4=$B$18,SUM(Y12:Y14)))))))))))))</f>
        <v>7.5374858224644097</v>
      </c>
      <c r="G10" s="58">
        <f>(E10-F10)/E10</f>
        <v>-0.21225577217446173</v>
      </c>
      <c r="H10" s="65" t="str">
        <f>IF($C$3="English","For trees in 6 inches or less",IF($C$3="Metric","For trees in 15 cm or less"))</f>
        <v>For trees in 6 inches or less</v>
      </c>
      <c r="I10" s="59" t="str">
        <f>IF(G10&lt;0.1,"no cut",IF(AND(G10&gt;0.1,G10&lt;0.22),"1 of every 5 trees",IF(AND(G10&gt;0.22,G10&lt;0.29),"1 of every 4 trees",IF(AND(G10&gt;0.29,G10&lt;0.37),"1 of every 3 trees",IF(AND(G10&gt;0.37,G10&lt;0.45),"2 of every 5 trees",IF(AND(G10&gt;0.45,G10&lt;0.56),"1 of every 2 trees",IF(AND(G10&gt;0.56,G10&lt;0.63),"3 of every 5 trees",IF(AND(G10&gt;0.63,G10&lt;0.71),"2 of every 3 trees",IF(AND(G10&gt;0.71,G10&lt;0.78),"3 of every 4 trees",IF(AND(G10&gt;0.78,G10&lt;1),"4 of every 5 trees","ERROR"))))))))))</f>
        <v>no cut</v>
      </c>
      <c r="J10" s="59"/>
      <c r="K10" s="60"/>
      <c r="M10" s="11"/>
      <c r="N10" s="55" t="str">
        <f>IF($C$3="English","Number of trees based on largest target tree diameter in inches",IF($C$3="Metric","Number of trees based on largest target tree diameter in cm"))</f>
        <v>Number of trees based on largest target tree diameter in inches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29" t="s">
        <v>9</v>
      </c>
      <c r="AA10" s="29" t="s">
        <v>10</v>
      </c>
      <c r="AB10" s="29" t="str">
        <f>IF($C$3="English","English",IF($C$3="Metric","Metric"))</f>
        <v>English</v>
      </c>
      <c r="AC10" s="29" t="s">
        <v>9</v>
      </c>
      <c r="AD10" s="29" t="s">
        <v>10</v>
      </c>
      <c r="AE10" s="29" t="str">
        <f>IF($C$3="English","English",IF($C$3="Metric","Metric"))</f>
        <v>English</v>
      </c>
      <c r="AF10" s="29" t="str">
        <f>IF($C$3="English","English",IF($C$3="Metric","Metric"))</f>
        <v>English</v>
      </c>
    </row>
    <row r="11" spans="2:32" ht="15" customHeight="1" x14ac:dyDescent="0.25">
      <c r="B11" s="12">
        <f>IF($C$3="Metric",10,IF($C$3="English",4))</f>
        <v>4</v>
      </c>
      <c r="C11" s="13" t="str">
        <f>IF($C$3="English","3 - 5",IF($C$3="Metric","7.5 - 12.5"))</f>
        <v>3 - 5</v>
      </c>
      <c r="D11" s="4">
        <v>15</v>
      </c>
      <c r="E11" s="44"/>
      <c r="F11" s="44"/>
      <c r="G11" s="44"/>
      <c r="H11" s="66"/>
      <c r="I11" s="61"/>
      <c r="J11" s="61"/>
      <c r="K11" s="62"/>
      <c r="M11" s="14" t="s">
        <v>4</v>
      </c>
      <c r="N11" s="15">
        <f>IF($C$3="English",40,100)</f>
        <v>40</v>
      </c>
      <c r="O11" s="15">
        <f>IF($C$3="English",38,95)</f>
        <v>38</v>
      </c>
      <c r="P11" s="15">
        <f>IF($C$3="English",36,90)</f>
        <v>36</v>
      </c>
      <c r="Q11" s="15">
        <f>IF($C$3="English",34,85)</f>
        <v>34</v>
      </c>
      <c r="R11" s="15">
        <f>IF($C$3="English",32,80)</f>
        <v>32</v>
      </c>
      <c r="S11" s="15">
        <f>IF($C$3="English",30,75)</f>
        <v>30</v>
      </c>
      <c r="T11" s="15">
        <f>IF($C$3="English",28,70)</f>
        <v>28</v>
      </c>
      <c r="U11" s="15">
        <f>IF($C$3="English",26,65)</f>
        <v>26</v>
      </c>
      <c r="V11" s="15">
        <f>IF($C$3="English",24,60)</f>
        <v>24</v>
      </c>
      <c r="W11" s="15">
        <f>IF($C$3="English",22,55)</f>
        <v>22</v>
      </c>
      <c r="X11" s="15">
        <f>IF($C$3="English",20,50)</f>
        <v>20</v>
      </c>
      <c r="Y11" s="15">
        <f>IF($C$3="English",18,45)</f>
        <v>18</v>
      </c>
      <c r="Z11" s="37">
        <f>IF($C$3="English",$C$4,"")</f>
        <v>20</v>
      </c>
      <c r="AA11" s="37" t="str">
        <f>IF($C$3="Metric",$C$4,"")</f>
        <v/>
      </c>
      <c r="AB11" s="37">
        <f>IF(AB10="English",Z11,IF(AB10="Metric",AA11))</f>
        <v>20</v>
      </c>
      <c r="AC11" s="37">
        <f>IF($C$3="English",$C$4,"")</f>
        <v>20</v>
      </c>
      <c r="AD11" s="37" t="str">
        <f>IF($C$3="Metric",$C$4,"")</f>
        <v/>
      </c>
      <c r="AE11" s="37">
        <f>IF(AE10="English",AC11,IF(AE10="Metric",AD11))</f>
        <v>20</v>
      </c>
      <c r="AF11" s="37">
        <f>IF($C$3="English",$C$4,IF($C$3="Metric",$C$4,""))</f>
        <v>20</v>
      </c>
    </row>
    <row r="12" spans="2:32" ht="15" customHeight="1" x14ac:dyDescent="0.25">
      <c r="B12" s="12">
        <f>IF($C$3="Metric",15,IF($C$3="English",6))</f>
        <v>6</v>
      </c>
      <c r="C12" s="13" t="str">
        <f>IF($C$3="English","5 - 7",IF($C$3="Metric","12.5 - 17.5"))</f>
        <v>5 - 7</v>
      </c>
      <c r="D12" s="4">
        <v>22</v>
      </c>
      <c r="E12" s="44"/>
      <c r="F12" s="44"/>
      <c r="G12" s="44"/>
      <c r="H12" s="67"/>
      <c r="I12" s="63"/>
      <c r="J12" s="63"/>
      <c r="K12" s="64"/>
      <c r="M12" s="31">
        <f t="shared" ref="M12:M31" si="0">IF($C$3="English",(B10*B10*0.005454154)*(POWER($C$6,(($C$4-B10)/($B$11-$B$10)))),IF($C$3="Metric",(B10*B10*0.0000785398)*(POWER($C$6,(($C$4-B10)/($B$11-$B$10))))))</f>
        <v>0.23135429069298183</v>
      </c>
      <c r="N12" s="32">
        <f>IF($C$3="Metric",($C$5/$M$32)*$C$6^19*(B10*B10*0.0000785398),IF($C$3="English",($C$5/$M$32)*$C$6^19*(B10*B10*0.005454154)))</f>
        <v>6.3562039305077205</v>
      </c>
      <c r="O12" s="32">
        <f>IF($C$3="Metric",($C$5/SUM($M$12:$M$30))*$C$6^18*($B10*$B10*0.0000785398),IF($C$3="English",($C$5/SUM($M$12:$M$30))*$C$6^18*($B10*$B10*0.005454154)))</f>
        <v>4.9943980845922615</v>
      </c>
      <c r="P12" s="32">
        <f>IF($C$3="Metric",($C$5/SUM($M$12:$M$29))*$C$6^17*($B10*$B10*0.0000785398),IF($C$3="English",($C$5/SUM($M$12:$M$29))*$C$6^17*($B10*$B10*0.005454154)))</f>
        <v>3.9411544676640049</v>
      </c>
      <c r="Q12" s="32">
        <f>IF($C$3="Metric",($C$5/SUM($M$12:$M$28))*$C$6^16*($B10*$B10*0.0000785398),IF($C$3="English",($C$5/SUM($M$12:$M$28))*$C$6^16*($B10*$B10*0.005454154)))</f>
        <v>3.125935961134588</v>
      </c>
      <c r="R12" s="32">
        <f>IF($C$3="Metric",($C$5/SUM($M$12:$M$27))*$C$6^15*($B10*$B10*0.0000785398),IF($C$3="English",($C$5/SUM($M$12:$M$27))*$C$6^15*($B10*$B10*0.005454154)))</f>
        <v>2.4945192854891358</v>
      </c>
      <c r="S12" s="32">
        <f>IF($C$3="Metric",($C$5/SUM($M$12:$M$26))*$C$6^14*($B10*$B10*0.0000785398),IF($C$3="English",($C$5/SUM($M$12:$M$26))*$C$6^14*($B10*$B10*0.005454154)))</f>
        <v>2.0052448458168413</v>
      </c>
      <c r="T12" s="32">
        <f>IF($C$3="Metric",($C$5/SUM($M$12:$M$25))*$C$6^13*($B10*$B10*0.0000785398),IF($C$3="English",($C$5/SUM($M$12:$M$25))*$C$6^13*($B10*$B10*0.005454154)))</f>
        <v>1.6261396558538967</v>
      </c>
      <c r="U12" s="32">
        <f>IF($C$3="Metric",($C$5/SUM($M$12:$M$24))*$C$6^12*($B10*$B10*0.0000785398),IF($C$3="English",($C$5/SUM($M$12:$M$24))*$C$6^12*($B10*$B10*0.005454154)))</f>
        <v>1.3327162323417501</v>
      </c>
      <c r="V12" s="32">
        <f>IF($C$3="Metric",($C$5/SUM($M$12:$M$23))*$C$6^11*($B10*$B10*0.0000785398),IF($C$3="English",($C$5/SUM($M$12:$M$23))*$C$6^11*($B10*$B10*0.005454154)))</f>
        <v>1.106298923833696</v>
      </c>
      <c r="W12" s="32">
        <f>IF($C$3="Metric",($C$5/SUM($M$12:$M$22))*$C$6^10*($B10*$B10*0.0000785398),IF($C$3="English",($C$5/SUM($M$12:$M$22))*$C$6^10*($B10*$B10*0.005454154)))</f>
        <v>0.93276924197747291</v>
      </c>
      <c r="X12" s="32">
        <f>IF($C$3="Metric",($C$5/SUM($M$12:$M$21))*$C$6^9*($B10*$B10*0.0000785398),IF($C$3="English",($C$5/SUM($M$12:$M$21))*$C$6^9*($B10*$B10*0.005454154)))</f>
        <v>0.80165834109281642</v>
      </c>
      <c r="Y12" s="32">
        <f>IF($C$3="Metric",($C$5/SUM($M$12:$M$20))*$C$6^8*($B10*$B10*0.0000785398),IF($C$3="English",($C$5/SUM($M$12:$M$20))*$C$6^8*($B10*$B10*0.005454154)))</f>
        <v>0.70555563607356886</v>
      </c>
      <c r="Z12" s="16">
        <f>IF($Z$11=$N$11,N12/(B10*B10*0.005454154),IF($Z$11=$O$11,O12/(B10*B10*0.005454154),IF($Z$11=$P$11,P12/(B10*B10*0.005454154),IF($Z$11=$Q$11,Q12/(B10*B10*0.005454154),IF($Z$11=$R$11,R12/(B10*B10*0.005454154),IF($Z$11=$S$11,S12/(B10*B10*0.005454154),IF($Z$11=$T$11,T12/(B10*B10*0.005454154),IF($Z$11=$U$11,U12/(B10*B10*0.005454154),IF($Z$11=$V$11,V12/(B10*B10*0.005454154),IF($Z$11=$W$11,W12/(B10*B10*0.005454154),IF($Z$11=$X$11,X12/(B10*B10*0.005454154),IF($Z$11=$Y$11,Y12/(B10*B10*0.005454154),""))))))))))))</f>
        <v>36.745311055244152</v>
      </c>
      <c r="AA12" s="16" t="str">
        <f>IF($AA$11=$N$11,N12/(B10*B10*0.0000785398),IF($AA$11=$O$11,O12/(B10*B10*0.0000785398),IF($AA$11=$P$11,P12/(B10*B10*0.0000785398),IF($AA$11=$Q$11,Q12/(B10*B10*0.0000785398),IF($AA$11=$R$11,R12/(B10*B10*0.0000785398),IF($AA$11=$S$11,S12/(B10*B10*0.0000785398),IF($AA$11=$T$11,T12/(B10*B10*0.0000785398),IF($AA$11=$U$11,U12/(B10*B10*0.0000785398),IF($AA$11=$V$11,V12/(B10*B10*0.0000785398),IF($AA$11=$W$11,W12/(B10*B10*0.0000785398),IF($AA$11=$X$11,X12/(B10*B10*0.0000785398),IF($AA$11=$Y$11,Y12/(B10*B10*0.0000785398),""))))))))))))</f>
        <v/>
      </c>
      <c r="AB12" s="17">
        <f>IF($AB$10="English",Z12,IF($AB$10="Metric",AA12))</f>
        <v>36.745311055244152</v>
      </c>
      <c r="AC12" s="16">
        <f>IF($AC$11=$N$11,N12,IF($AC$11=$O$11,O12,IF($AC$11=$P$11,P12,IF($AC$11=$Q$11,Q12,IF($AC$11=$R$11,R12,IF($AC$11=$S$11,S12,IF($AC$11=$T$11,T12,IF($AC$11=$U$11,U12,IF($AC$11=$V$11,V12,IF($AC$11=$W$11,W12,IF($AC$11=$X$11,X12,IF($AC$11=$Y$11,Y12,""))))))))))))</f>
        <v>0.80165834109281642</v>
      </c>
      <c r="AD12" s="16" t="str">
        <f>IF($AD$11=$N$11,N12,IF($AD$11=$O$11,O12,IF($AD$11=$P$11,P12,IF($AD$11=$Q$11,Q12,IF($AD$11=$R$11,R12,IF($AD$11=$S$11,S12,IF($AD$11=$T$11,T12,IF($AD$11=$U$11,U12,IF($AD$11=$V$11,V12,IF($AD$11=$W$11,W12,IF($AD$11=$X$11,X12,IF($AD$11=$Y$11,Y12,""))))))))))))</f>
        <v/>
      </c>
      <c r="AE12" s="17">
        <f>IF($AE$10="English",AC12,IF($AB$10="Metric",AD12))</f>
        <v>0.80165834109281642</v>
      </c>
      <c r="AF12" s="30">
        <f>IF($C$3="English",D10*B10*B10*0.005454154,IF($C$3="Metric",D10*B10*B10*0.0000785398))</f>
        <v>0.58904863200000002</v>
      </c>
    </row>
    <row r="13" spans="2:32" ht="15" customHeight="1" x14ac:dyDescent="0.25">
      <c r="B13" s="12">
        <f>IF($C$3="Metric",20,IF($C$3="English",8))</f>
        <v>8</v>
      </c>
      <c r="C13" s="13" t="str">
        <f>IF($C$3="English","7 - 9 ",IF($C$3="Metric","17.5 - 22.5 "))</f>
        <v xml:space="preserve">7 - 9 </v>
      </c>
      <c r="D13" s="4">
        <v>24</v>
      </c>
      <c r="E13" s="71">
        <f>IF($C$3="English",(B13*B13*0.005454154*D13)+(B14*B14*0.005454154*D14)+(B15*B15*0.005454154*D15),IF($C$3="Metric",(B13*B13*0.0000785398*D13)+(B14*B14*0.0000785398*D14)+(B15*B15*0.0000785398*D15),""))</f>
        <v>34.033920960000003</v>
      </c>
      <c r="F13" s="71">
        <f>IF($C$4=$B$29,SUM(N15:N17),IF($C$4=$B$28,SUM(O15:O17),IF($C$4=$B$27,SUM(P15:P17),IF($C$4=$B$26,SUM(Q15:Q17),IF($C$4=$B$25,SUM(R15:R17),IF($C$4=$B$24,SUM(S15:S17),IF($C$4=$B$23,SUM(T15:T17),IF($C$4=$B$22,SUM(U15:U17),IF($C$4=$B$21,SUM(V15:V17),IF($C$4=$B$20,SUM(W15:W17),IF($C$4=$B$19,SUM(X15:X17),IF($C$4=$B$18,SUM(Y15:Y17)))))))))))))</f>
        <v>20.628031745281401</v>
      </c>
      <c r="G13" s="71">
        <f>(E13-F13)/E13</f>
        <v>0.39389787707606527</v>
      </c>
      <c r="H13" s="77" t="str">
        <f>IF($C$3="English","For trees from 8  to 12 inches",IF($C$3="Metric","For trees from 17.5 to 30 cm"))</f>
        <v>For trees from 8  to 12 inches</v>
      </c>
      <c r="I13" s="73" t="str">
        <f>IF(G13&lt;0.1,"no cut",IF(AND(G13&gt;0.1,G13&lt;0.22),"1 of every 5 trees",IF(AND(G13&gt;0.22,G13&lt;0.29),"1 of every 4 trees",IF(AND(G13&gt;0.29,G13&lt;0.37),"1 of every 3 trees",IF(AND(G13&gt;0.37,G13&lt;0.45),"2 of every 5 trees",IF(AND(G13&gt;0.45,G13&lt;0.56),"1 of every 2 trees",IF(AND(G13&gt;0.56,G13&lt;0.63),"3 of every 5 trees",IF(AND(G13&gt;0.63,G13&lt;0.71),"2 of every 3 trees",IF(AND(G13&gt;0.71,G13&lt;0.78),"3 of every 4 trees",IF(AND(G13&gt;0.78,G13&lt;1),"4 of every 5 trees","ERROR"))))))))))</f>
        <v>2 of every 5 trees</v>
      </c>
      <c r="J13" s="73"/>
      <c r="K13" s="74"/>
      <c r="M13" s="31">
        <f t="shared" si="0"/>
        <v>0.71185935597840566</v>
      </c>
      <c r="N13" s="32">
        <f>IF($C$3="Metric",($C$5/$M$32)*$C$6^18*(B11*B11*0.0000785398),IF($C$3="English",($C$5/$M$32)*$C$6^18*(B11*B11*0.005454154)))</f>
        <v>19.557550555408369</v>
      </c>
      <c r="O13" s="32">
        <f>IF($C$3="Metric",($C$5/SUM($M$12:$M$30))*$C$6^17*($B11*$B11*0.0000785398),IF($C$3="English",($C$5/SUM($M$12:$M$30))*$C$6^17*($B11*$B11*0.005454154)))</f>
        <v>15.367378721822341</v>
      </c>
      <c r="P13" s="32">
        <f>IF($C$3="Metric",($C$5/SUM($M$12:$M$29))*$C$6^16*($B11*$B11*0.0000785398),IF($C$3="English",($C$5/SUM($M$12:$M$29))*$C$6^16*($B11*$B11*0.005454154)))</f>
        <v>12.126629131273862</v>
      </c>
      <c r="Q13" s="32">
        <f>IF($C$3="Metric",($C$5/SUM($M$12:$M$28))*$C$6^15*($B11*$B11*0.0000785398),IF($C$3="English",($C$5/SUM($M$12:$M$28))*$C$6^15*($B11*$B11*0.005454154)))</f>
        <v>9.6182644957987318</v>
      </c>
      <c r="R13" s="32">
        <f>IF($C$3="Metric",($C$5/SUM($M$12:$M$27))*$C$6^14*($B11*$B11*0.0000785398),IF($C$3="English",($C$5/SUM($M$12:$M$27))*$C$6^14*($B11*$B11*0.005454154)))</f>
        <v>7.6754439553511871</v>
      </c>
      <c r="S13" s="32">
        <f>IF($C$3="Metric",($C$5/SUM($M$12:$M$26))*$C$6^13*($B11*$B11*0.0000785398),IF($C$3="English",($C$5/SUM($M$12:$M$26))*$C$6^13*($B11*$B11*0.005454154)))</f>
        <v>6.1699841409748952</v>
      </c>
      <c r="T13" s="32">
        <f>IF($C$3="Metric",($C$5/SUM($M$12:$M$25))*$C$6^12*($B11*$B11*0.0000785398),IF($C$3="English",($C$5/SUM($M$12:$M$25))*$C$6^12*($B11*$B11*0.005454154)))</f>
        <v>5.0035066333966052</v>
      </c>
      <c r="U13" s="32">
        <f>IF($C$3="Metric",($C$5/SUM($M$12:$M$24))*$C$6^11*($B11*$B11*0.0000785398),IF($C$3="English",($C$5/SUM($M$12:$M$24))*$C$6^11*($B11*$B11*0.005454154)))</f>
        <v>4.1006653302823075</v>
      </c>
      <c r="V13" s="32">
        <f>IF($C$3="Metric",($C$5/SUM($M$12:$M$23))*$C$6^10*($B11*$B11*0.0000785398),IF($C$3="English",($C$5/SUM($M$12:$M$23))*$C$6^10*($B11*$B11*0.005454154)))</f>
        <v>3.4039966887190642</v>
      </c>
      <c r="W13" s="32">
        <f>IF($C$3="Metric",($C$5/SUM($M$12:$M$22))*$C$6^9*($B11*$B11*0.0000785398),IF($C$3="English",($C$5/SUM($M$12:$M$22))*$C$6^9*($B11*$B11*0.005454154)))</f>
        <v>2.8700592060845311</v>
      </c>
      <c r="X13" s="32">
        <f>IF($C$3="Metric",($C$5/SUM($M$12:$M$21))*$C$6^8*($B11*$B11*0.0000785398),IF($C$3="English",($C$5/SUM($M$12:$M$21))*$C$6^8*($B11*$B11*0.005454154)))</f>
        <v>2.4666410495163582</v>
      </c>
      <c r="Y13" s="32">
        <f>IF($C$3="Metric",($C$5/SUM($M$12:$M$20))*$C$6^7*($B11*$B11*0.0000785398),IF($C$3="English",($C$5/SUM($M$12:$M$20))*$C$6^7*($B11*$B11*0.005454154)))</f>
        <v>2.1709404186879047</v>
      </c>
      <c r="Z13" s="16">
        <f t="shared" ref="Z13:Z31" si="1">IF($Z$11=$N$11,N13/(B11*B11*0.005454154),IF($Z$11=$O$11,O13/(B11*B11*0.005454154),IF($Z$11=$P$11,P13/(B11*B11*0.005454154),IF($Z$11=$Q$11,Q13/(B11*B11*0.005454154),IF($Z$11=$R$11,R13/(B11*B11*0.005454154),IF($Z$11=$S$11,S13/(B11*B11*0.005454154),IF($Z$11=$T$11,T13/(B11*B11*0.005454154),IF($Z$11=$U$11,U13/(B11*B11*0.005454154),IF($Z$11=$V$11,V13/(B11*B11*0.005454154),IF($Z$11=$W$11,W13/(B11*B11*0.005454154),IF($Z$11=$X$11,X13/(B11*B11*0.005454154),IF($Z$11=$Y$11,Y13/(B11*B11*0.005454154),""))))))))))))</f>
        <v>28.265623888649348</v>
      </c>
      <c r="AA13" s="16" t="str">
        <f t="shared" ref="AA13:AA31" si="2">IF($AA$11=$N$11,N13/(B11*B11*0.0000785398),IF($AA$11=$O$11,O13/(B11*B11*0.0000785398),IF($AA$11=$P$11,P13/(B11*B11*0.0000785398),IF($AA$11=$Q$11,Q13/(B11*B11*0.0000785398),IF($AA$11=$R$11,R13/(B11*B11*0.0000785398),IF($AA$11=$S$11,S13/(B11*B11*0.0000785398),IF($AA$11=$T$11,T13/(B11*B11*0.0000785398),IF($AA$11=$U$11,U13/(B11*B11*0.0000785398),IF($AA$11=$V$11,V13/(B11*B11*0.0000785398),IF($AA$11=$W$11,W13/(B11*B11*0.0000785398),IF($AA$11=$X$11,X13/(B11*B11*0.0000785398),IF($AA$11=$Y$11,Y13/(B11*B11*0.0000785398),""))))))))))))</f>
        <v/>
      </c>
      <c r="AB13" s="17">
        <f t="shared" ref="AB13:AB31" si="3">IF($AB$10="English",Z13,IF($AB$10="Metric",AA13))</f>
        <v>28.265623888649348</v>
      </c>
      <c r="AC13" s="16">
        <f t="shared" ref="AC13:AC31" si="4">IF($AC$11=$N$11,N13,IF($AC$11=$O$11,O13,IF($AC$11=$P$11,P13,IF($AC$11=$Q$11,Q13,IF($AC$11=$R$11,R13,IF($AC$11=$S$11,S13,IF($AC$11=$T$11,T13,IF($AC$11=$U$11,U13,IF($AC$11=$V$11,V13,IF($AC$11=$W$11,W13,IF($AC$11=$X$11,X13,IF($AC$11=$Y$11,Y13,""))))))))))))</f>
        <v>2.4666410495163582</v>
      </c>
      <c r="AD13" s="16" t="str">
        <f t="shared" ref="AD13:AD31" si="5">IF($AD$11=$N$11,N13,IF($AD$11=$O$11,O13,IF($AD$11=$P$11,P13,IF($AD$11=$Q$11,Q13,IF($AD$11=$R$11,R13,IF($AD$11=$S$11,S13,IF($AD$11=$T$11,T13,IF($AD$11=$U$11,U13,IF($AD$11=$V$11,V13,IF($AD$11=$W$11,W13,IF($AD$11=$X$11,X13,IF($AD$11=$Y$11,Y13,""))))))))))))</f>
        <v/>
      </c>
      <c r="AE13" s="17">
        <f t="shared" ref="AE13:AE31" si="6">IF($AB$10="English",AC13,IF($AB$10="Metric",AD13))</f>
        <v>2.4666410495163582</v>
      </c>
      <c r="AF13" s="30">
        <f t="shared" ref="AF13:AF31" si="7">IF($C$3="English",D11*B11*B11*0.005454154,IF($C$3="Metric",D11*B11*B11*0.0000785398))</f>
        <v>1.30899696</v>
      </c>
    </row>
    <row r="14" spans="2:32" ht="15" customHeight="1" x14ac:dyDescent="0.25">
      <c r="B14" s="12">
        <f>IF($C$3="Metric",25,IF($C$3="English",10))</f>
        <v>10</v>
      </c>
      <c r="C14" s="13" t="str">
        <f>IF($C$3="English","9 - 11 ",IF($C$3="Metric","22.5 - 27.5"))</f>
        <v xml:space="preserve">9 - 11 </v>
      </c>
      <c r="D14" s="4">
        <v>24</v>
      </c>
      <c r="E14" s="44"/>
      <c r="F14" s="44"/>
      <c r="G14" s="44"/>
      <c r="H14" s="66"/>
      <c r="I14" s="75"/>
      <c r="J14" s="75"/>
      <c r="K14" s="76"/>
      <c r="M14" s="31">
        <f t="shared" si="0"/>
        <v>1.2320642699626254</v>
      </c>
      <c r="N14" s="32">
        <f>IF($C$3="Metric",($C$5/$M$32)*$C$6^17*(B12*B12*0.0000785398),IF($C$3="English",($C$5/$M$32)*$C$6^17*(B12*B12*0.005454154)))</f>
        <v>33.849606730514481</v>
      </c>
      <c r="O14" s="32">
        <f>IF($C$3="Metric",($C$5/SUM($M$12:$M$30))*$C$6^16*($B12*$B12*0.0000785398),IF($C$3="English",($C$5/SUM($M$12:$M$30))*$C$6^16*($B12*$B12*0.005454154)))</f>
        <v>26.597386249307903</v>
      </c>
      <c r="P14" s="32">
        <f>IF($C$3="Metric",($C$5/SUM($M$12:$M$29))*$C$6^15*($B12*$B12*0.0000785398),IF($C$3="English",($C$5/SUM($M$12:$M$29))*$C$6^15*($B12*$B12*0.005454154)))</f>
        <v>20.98839657335861</v>
      </c>
      <c r="Q14" s="32">
        <f>IF($C$3="Metric",($C$5/SUM($M$12:$M$28))*$C$6^14*($B12*$B12*0.0000785398),IF($C$3="English",($C$5/SUM($M$12:$M$28))*$C$6^14*($B12*$B12*0.005454154)))</f>
        <v>16.646996242728573</v>
      </c>
      <c r="R14" s="32">
        <f>IF($C$3="Metric",($C$5/SUM($M$12:$M$27))*$C$6^13*($B12*$B12*0.0000785398),IF($C$3="English",($C$5/SUM($M$12:$M$27))*$C$6^13*($B12*$B12*0.005454154)))</f>
        <v>13.284422230415517</v>
      </c>
      <c r="S14" s="32">
        <f>IF($C$3="Metric",($C$5/SUM($M$12:$M$26))*$C$6^12*($B12*$B12*0.0000785398),IF($C$3="English",($C$5/SUM($M$12:$M$26))*$C$6^12*($B12*$B12*0.005454154)))</f>
        <v>10.678818705533473</v>
      </c>
      <c r="T14" s="32">
        <f>IF($C$3="Metric",($C$5/SUM($M$12:$M$25))*$C$6^11*($B12*$B12*0.0000785398),IF($C$3="English",($C$5/SUM($M$12:$M$25))*$C$6^11*($B12*$B12*0.005454154)))</f>
        <v>8.6599153270325857</v>
      </c>
      <c r="U14" s="32">
        <f>IF($C$3="Metric",($C$5/SUM($M$12:$M$24))*$C$6^10*($B12*$B12*0.0000785398),IF($C$3="English",($C$5/SUM($M$12:$M$24))*$C$6^10*($B12*$B12*0.005454154)))</f>
        <v>7.097305379334764</v>
      </c>
      <c r="V14" s="32">
        <f>IF($C$3="Metric",($C$5/SUM($M$12:$M$23))*$C$6^9*($B12*$B12*0.0000785398),IF($C$3="English",($C$5/SUM($M$12:$M$23))*$C$6^9*($B12*$B12*0.005454154)))</f>
        <v>5.8915327304753031</v>
      </c>
      <c r="W14" s="32">
        <f>IF($C$3="Metric",($C$5/SUM($M$12:$M$22))*$C$6^8*($B12*$B12*0.0000785398),IF($C$3="English",($C$5/SUM($M$12:$M$22))*$C$6^8*($B12*$B12*0.005454154)))</f>
        <v>4.9674101643770747</v>
      </c>
      <c r="X14" s="32">
        <f>IF($C$3="Metric",($C$5/SUM($M$12:$M$21))*$C$6^7*($B12*$B12*0.0000785398),IF($C$3="English",($C$5/SUM($M$12:$M$21))*$C$6^7*($B12*$B12*0.005454154)))</f>
        <v>4.2691864318552355</v>
      </c>
      <c r="Y14" s="32">
        <f>IF($C$3="Metric",($C$5/SUM($M$12:$M$20))*$C$6^6*($B12*$B12*0.0000785398),IF($C$3="English",($C$5/SUM($M$12:$M$20))*$C$6^6*($B12*$B12*0.005454154)))</f>
        <v>3.7573968784982963</v>
      </c>
      <c r="Z14" s="16">
        <f t="shared" si="1"/>
        <v>21.742787606653344</v>
      </c>
      <c r="AA14" s="16" t="str">
        <f t="shared" si="2"/>
        <v/>
      </c>
      <c r="AB14" s="17">
        <f t="shared" si="3"/>
        <v>21.742787606653344</v>
      </c>
      <c r="AC14" s="16">
        <f t="shared" si="4"/>
        <v>4.2691864318552355</v>
      </c>
      <c r="AD14" s="16" t="str">
        <f t="shared" si="5"/>
        <v/>
      </c>
      <c r="AE14" s="17">
        <f t="shared" si="6"/>
        <v>4.2691864318552355</v>
      </c>
      <c r="AF14" s="30">
        <f t="shared" si="7"/>
        <v>4.3196899680000005</v>
      </c>
    </row>
    <row r="15" spans="2:32" ht="15" customHeight="1" x14ac:dyDescent="0.25">
      <c r="B15" s="12">
        <f>IF($C$3="Metric",30,IF($C$3="English",12))</f>
        <v>12</v>
      </c>
      <c r="C15" s="13" t="str">
        <f>IF($C$3="English","11 - 13 ",IF($C$3="Metric","27.5 - 32.5 "))</f>
        <v xml:space="preserve">11 - 13 </v>
      </c>
      <c r="D15" s="4">
        <v>16</v>
      </c>
      <c r="E15" s="44"/>
      <c r="F15" s="44"/>
      <c r="G15" s="44"/>
      <c r="H15" s="67"/>
      <c r="I15" s="75"/>
      <c r="J15" s="75"/>
      <c r="K15" s="76"/>
      <c r="M15" s="33">
        <f t="shared" si="0"/>
        <v>1.6848742153335046</v>
      </c>
      <c r="N15" s="34">
        <f>IF($C$3="Metric",($C$5/$M$32)*$C$6^16*(B13*B13*0.0000785398),IF($C$3="English",($C$5/$M$32)*$C$6^16*(B13*B13*0.005454154)))</f>
        <v>46.290060486173644</v>
      </c>
      <c r="O15" s="34">
        <f>IF($C$3="Metric",($C$5/SUM($M$12:$M$30))*$C$6^15*($B13*$B13*0.0000785398),IF($C$3="English",($C$5/SUM($M$12:$M$30))*$C$6^15*($B13*$B13*0.005454154)))</f>
        <v>36.372494016147556</v>
      </c>
      <c r="P15" s="34">
        <f>IF($C$3="Metric",($C$5/SUM($M$12:$M$29))*$C$6^14*($B13*$B13*0.0000785398),IF($C$3="English",($C$5/SUM($M$12:$M$29))*$C$6^14*($B13*$B13*0.005454154)))</f>
        <v>28.702080784080145</v>
      </c>
      <c r="Q15" s="34">
        <f>IF($C$3="Metric",($C$5/SUM($M$12:$M$28))*$C$6^13*($B13*$B13*0.0000785398),IF($C$3="English",($C$5/SUM($M$12:$M$28))*$C$6^13*($B13*$B13*0.005454154)))</f>
        <v>22.765123066979243</v>
      </c>
      <c r="R15" s="34">
        <f>IF($C$3="Metric",($C$5/SUM($M$12:$M$27))*$C$6^12*($B13*$B13*0.0000785398),IF($C$3="English",($C$5/SUM($M$12:$M$27))*$C$6^12*($B13*$B13*0.005454154)))</f>
        <v>18.166731255269081</v>
      </c>
      <c r="S15" s="34">
        <f>IF($C$3="Metric",($C$5/SUM($M$12:$M$26))*$C$6^11*($B13*$B13*0.0000785398),IF($C$3="English",($C$5/SUM($M$12:$M$26))*$C$6^11*($B13*$B13*0.005454154)))</f>
        <v>14.603512759703891</v>
      </c>
      <c r="T15" s="34">
        <f>IF($C$3="Metric",($C$5/SUM($M$12:$M$25))*$C$6^10*($B13*$B13*0.0000785398),IF($C$3="English",($C$5/SUM($M$12:$M$25))*$C$6^10*($B13*$B13*0.005454154)))</f>
        <v>11.84261925064285</v>
      </c>
      <c r="U15" s="34">
        <f>IF($C$3="Metric",($C$5/SUM($M$12:$M$24))*$C$6^9*($B13*$B13*0.0000785398),IF($C$3="English",($C$5/SUM($M$12:$M$24))*$C$6^9*($B13*$B13*0.005454154)))</f>
        <v>9.7057167580646322</v>
      </c>
      <c r="V15" s="34">
        <f>IF($C$3="Metric",($C$5/SUM($M$12:$M$23))*$C$6^8*($B13*$B13*0.0000785398),IF($C$3="English",($C$5/SUM($M$12:$M$23))*$C$6^8*($B13*$B13*0.005454154)))</f>
        <v>8.0567968963764827</v>
      </c>
      <c r="W15" s="34">
        <f>IF($C$3="Metric",($C$5/SUM($M$12:$M$22))*$C$6^7*($B13*$B13*0.0000785398),IF($C$3="English",($C$5/SUM($M$12:$M$22))*$C$6^7*($B13*$B13*0.005454154)))</f>
        <v>6.7930395410284783</v>
      </c>
      <c r="X15" s="34">
        <f>IF($C$3="Metric",($C$5/SUM($M$12:$M$21))*$C$6^6*($B13*$B13*0.0000785398),IF($C$3="English",($C$5/SUM($M$12:$M$21))*$C$6^6*($B13*$B13*0.005454154)))</f>
        <v>5.8382036674943389</v>
      </c>
      <c r="Y15" s="34">
        <f>IF($C$3="Metric",($C$5/SUM($M$12:$M$20))*$C$6^5*($B13*$B13*0.0000785398),IF($C$3="English",($C$5/SUM($M$12:$M$20))*$C$6^5*($B13*$B13*0.005454154)))</f>
        <v>5.1383205176045061</v>
      </c>
      <c r="Z15" s="16">
        <f t="shared" si="1"/>
        <v>16.725221235887187</v>
      </c>
      <c r="AA15" s="16" t="str">
        <f t="shared" si="2"/>
        <v/>
      </c>
      <c r="AB15" s="17">
        <f t="shared" si="3"/>
        <v>16.725221235887187</v>
      </c>
      <c r="AC15" s="16">
        <f t="shared" si="4"/>
        <v>5.8382036674943389</v>
      </c>
      <c r="AD15" s="16" t="str">
        <f t="shared" si="5"/>
        <v/>
      </c>
      <c r="AE15" s="17">
        <f t="shared" si="6"/>
        <v>5.8382036674943389</v>
      </c>
      <c r="AF15" s="30">
        <f t="shared" si="7"/>
        <v>8.3775805440000006</v>
      </c>
    </row>
    <row r="16" spans="2:32" ht="15" customHeight="1" x14ac:dyDescent="0.25">
      <c r="B16" s="12">
        <f>IF($C$3="Metric",35,IF($C$3="English",14))</f>
        <v>14</v>
      </c>
      <c r="C16" s="13" t="str">
        <f>IF($C$3="English","13 - 15 ",IF($C$3="Metric","32.5 - 37.5 "))</f>
        <v xml:space="preserve">13 - 15 </v>
      </c>
      <c r="D16" s="4">
        <v>19</v>
      </c>
      <c r="E16" s="71">
        <f>IF($C$3="English",(B16*B16*0.005454154*D16)+(B17*B17*0.005454154*D17)+(B18*B18*0.005454154*D18)+(B19*B19*0.005454154*D19),IF($C$3="Metric",(B16*B16*0.0000785398*D16)+(B17*B17*0.0000785398*D17)+(B18*B18*0.0000785398*D18)+(B19*B19*0.0000785398*D19)))</f>
        <v>36.171949327999997</v>
      </c>
      <c r="F16" s="71">
        <f>IF($C$4=$B$29,SUM(N18:N21),IF($C$4=$B$28,SUM(O18:O21),IF($C$4=$B$27,SUM(P18:P21),IF($C$4=$B$26,SUM(Q18:Q21),IF($C$4=$B$25,SUM(R18:R21),IF($C$4=$B$24,SUM(S18:S21),IF($C$4=$B$23,SUM(T18:T21),IF($C$4=$B$22,SUM(U18:U21),IF($C$4=$B$21,SUM(V18:V21),IF($C$4=$B$20,SUM(W18:W21),IF($C$4=$B$19,SUM(X18:X21),IF($C$4=$B$18,SUM(Y18:Y20)))))))))))))</f>
        <v>31.834482432254191</v>
      </c>
      <c r="G16" s="71">
        <f>(E16-F16)/E16</f>
        <v>0.1199124453154162</v>
      </c>
      <c r="H16" s="77" t="str">
        <f>IF($C$3="English","For trees from 14 to 20 inches",IF($C$3="Metric","For trees from 32.5 to 50 cm "))</f>
        <v>For trees from 14 to 20 inches</v>
      </c>
      <c r="I16" s="78" t="str">
        <f>IF(G16&lt;0.1,"no cut",IF(AND(G16&gt;0.1,G16&lt;0.22),"1 of every 5 trees",IF(AND(G16&gt;0.22,G16&lt;0.29),"1 of every 4 trees",IF(AND(G16&gt;0.29,G16&lt;0.37),"1 of every 3 trees",IF(AND(G16&gt;0.37,G16&lt;0.45),"2 of every 5 trees",IF(AND(G16&gt;0.45,G16&lt;0.56),"1 of every 2 trees",IF(AND(G16&gt;0.56,G16&lt;0.63),"3 of every 5 trees",IF(AND(G16&gt;0.63,G16&lt;0.71),"2 of every 3 trees",IF(AND(G16&gt;0.71,G16&lt;0.78),"3 of every 4 trees",IF(AND(G16&gt;0.78,G16&lt;1),"4 of every 5 trees","ERROR"))))))))))</f>
        <v>1 of every 5 trees</v>
      </c>
      <c r="J16" s="79"/>
      <c r="K16" s="80"/>
      <c r="M16" s="33">
        <f t="shared" si="0"/>
        <v>2.0250892011220003</v>
      </c>
      <c r="N16" s="34">
        <f>IF($C$3="Metric",($C$5/$M$32)*$C$6^15*(B14*B14*0.0000785398),IF($C$3="English",($C$5/$M$32)*$C$6^15*(B14*B14*0.005454154)))</f>
        <v>55.637091930497178</v>
      </c>
      <c r="O16" s="34">
        <f>IF($C$3="Metric",($C$5/SUM($M$12:$M$30))*$C$6^14*($B14*$B14*0.0000785398),IF($C$3="English",($C$5/SUM($M$12:$M$30))*$C$6^14*($B14*$B14*0.005454154)))</f>
        <v>43.716939923254273</v>
      </c>
      <c r="P16" s="34">
        <f>IF($C$3="Metric",($C$5/SUM($M$12:$M$29))*$C$6^13*($B14*$B14*0.0000785398),IF($C$3="English",($C$5/SUM($M$12:$M$29))*$C$6^13*($B14*$B14*0.005454154)))</f>
        <v>34.497693250096326</v>
      </c>
      <c r="Q16" s="34">
        <f>IF($C$3="Metric",($C$5/SUM($M$12:$M$28))*$C$6^12*($B14*$B14*0.0000785398),IF($C$3="English",($C$5/SUM($M$12:$M$28))*$C$6^12*($B14*$B14*0.005454154)))</f>
        <v>27.361926763196205</v>
      </c>
      <c r="R16" s="34">
        <f>IF($C$3="Metric",($C$5/SUM($M$12:$M$27))*$C$6^11*($B14*$B14*0.0000785398),IF($C$3="English",($C$5/SUM($M$12:$M$27))*$C$6^11*($B14*$B14*0.005454154)))</f>
        <v>21.835013527967643</v>
      </c>
      <c r="S16" s="34">
        <f>IF($C$3="Metric",($C$5/SUM($M$12:$M$26))*$C$6^10*($B14*$B14*0.0000785398),IF($C$3="English",($C$5/SUM($M$12:$M$26))*$C$6^10*($B14*$B14*0.005454154)))</f>
        <v>17.552298990028717</v>
      </c>
      <c r="T16" s="34">
        <f>IF($C$3="Metric",($C$5/SUM($M$12:$M$25))*$C$6^9*($B14*$B14*0.0000785398),IF($C$3="English",($C$5/SUM($M$12:$M$25))*$C$6^9*($B14*$B14*0.005454154)))</f>
        <v>14.233917368561116</v>
      </c>
      <c r="U16" s="34">
        <f>IF($C$3="Metric",($C$5/SUM($M$12:$M$24))*$C$6^8*($B14*$B14*0.0000785398),IF($C$3="English",($C$5/SUM($M$12:$M$24))*$C$6^8*($B14*$B14*0.005454154)))</f>
        <v>11.665524949596913</v>
      </c>
      <c r="V16" s="34">
        <f>IF($C$3="Metric",($C$5/SUM($M$12:$M$23))*$C$6^7*($B14*$B14*0.0000785398),IF($C$3="English",($C$5/SUM($M$12:$M$23))*$C$6^7*($B14*$B14*0.005454154)))</f>
        <v>9.6836501158371195</v>
      </c>
      <c r="W16" s="34">
        <f>IF($C$3="Metric",($C$5/SUM($M$12:$M$22))*$C$6^6*($B14*$B14*0.0000785398),IF($C$3="English",($C$5/SUM($M$12:$M$22))*$C$6^6*($B14*$B14*0.005454154)))</f>
        <v>8.1647109868130734</v>
      </c>
      <c r="X16" s="34">
        <f>IF($C$3="Metric",($C$5/SUM($M$12:$M$21))*$C$6^5*($B14*$B14*0.0000785398),IF($C$3="English",($C$5/SUM($M$12:$M$21))*$C$6^5*($B14*$B14*0.005454154)))</f>
        <v>7.0170717157383882</v>
      </c>
      <c r="Y16" s="34">
        <f>IF($C$3="Metric",($C$5/SUM($M$12:$M$20))*$C$6^4*($B14*$B14*0.0000785398),IF($C$3="English",($C$5/SUM($M$12:$M$20))*$C$6^4*($B14*$B14*0.005454154)))</f>
        <v>6.175866006736185</v>
      </c>
      <c r="Z16" s="16">
        <f t="shared" si="1"/>
        <v>12.865554796836298</v>
      </c>
      <c r="AA16" s="16" t="str">
        <f t="shared" si="2"/>
        <v/>
      </c>
      <c r="AB16" s="17">
        <f t="shared" si="3"/>
        <v>12.865554796836298</v>
      </c>
      <c r="AC16" s="16">
        <f t="shared" si="4"/>
        <v>7.0170717157383882</v>
      </c>
      <c r="AD16" s="16" t="str">
        <f t="shared" si="5"/>
        <v/>
      </c>
      <c r="AE16" s="17">
        <f t="shared" si="6"/>
        <v>7.0170717157383882</v>
      </c>
      <c r="AF16" s="30">
        <f t="shared" si="7"/>
        <v>13.0899696</v>
      </c>
    </row>
    <row r="17" spans="2:32" ht="15" customHeight="1" x14ac:dyDescent="0.25">
      <c r="B17" s="12">
        <f>IF($C$3="Metric",40,IF($C$3="English",16))</f>
        <v>16</v>
      </c>
      <c r="C17" s="13" t="str">
        <f>IF($C$3="English","15 - 17 ",IF($C$3="Metric","37.5 - 42.5 "))</f>
        <v xml:space="preserve">15 - 17 </v>
      </c>
      <c r="D17" s="4">
        <v>6</v>
      </c>
      <c r="E17" s="45"/>
      <c r="F17" s="45"/>
      <c r="G17" s="45"/>
      <c r="H17" s="66"/>
      <c r="I17" s="81"/>
      <c r="J17" s="81"/>
      <c r="K17" s="82"/>
      <c r="M17" s="33">
        <f t="shared" si="0"/>
        <v>2.2431757304736006</v>
      </c>
      <c r="N17" s="34">
        <f>IF($C$3="Metric",($C$5/$M$32)*$C$6^14*(B15*B15*0.0000785398),IF($C$3="English",($C$5/$M$32)*$C$6^14*(B15*B15*0.005454154)))</f>
        <v>61.628778753781489</v>
      </c>
      <c r="O17" s="34">
        <f>IF($C$3="Metric",($C$5/SUM($M$12:$M$30))*$C$6^13*($B15*$B15*0.0000785398),IF($C$3="English",($C$5/SUM($M$12:$M$30))*$C$6^13*($B15*$B15*0.005454154)))</f>
        <v>48.424918068835503</v>
      </c>
      <c r="P17" s="34">
        <f>IF($C$3="Metric",($C$5/SUM($M$12:$M$29))*$C$6^12*($B15*$B15*0.0000785398),IF($C$3="English",($C$5/SUM($M$12:$M$29))*$C$6^12*($B15*$B15*0.005454154)))</f>
        <v>38.21282944626055</v>
      </c>
      <c r="Q17" s="34">
        <f>IF($C$3="Metric",($C$5/SUM($M$12:$M$28))*$C$6^11*($B15*$B15*0.0000785398),IF($C$3="English",($C$5/SUM($M$12:$M$28))*$C$6^11*($B15*$B15*0.005454154)))</f>
        <v>30.30859579923272</v>
      </c>
      <c r="R17" s="34">
        <f>IF($C$3="Metric",($C$5/SUM($M$12:$M$27))*$C$6^10*($B15*$B15*0.0000785398),IF($C$3="English",($C$5/SUM($M$12:$M$27))*$C$6^10*($B15*$B15*0.005454154)))</f>
        <v>24.186476523287233</v>
      </c>
      <c r="S17" s="34">
        <f>IF($C$3="Metric",($C$5/SUM($M$12:$M$26))*$C$6^9*($B15*$B15*0.0000785398),IF($C$3="English",($C$5/SUM($M$12:$M$26))*$C$6^9*($B15*$B15*0.005454154)))</f>
        <v>19.442546573570269</v>
      </c>
      <c r="T17" s="34">
        <f>IF($C$3="Metric",($C$5/SUM($M$12:$M$25))*$C$6^8*($B15*$B15*0.0000785398),IF($C$3="English",($C$5/SUM($M$12:$M$25))*$C$6^8*($B15*$B15*0.005454154)))</f>
        <v>15.766800777483084</v>
      </c>
      <c r="U17" s="34">
        <f>IF($C$3="Metric",($C$5/SUM($M$12:$M$24))*$C$6^7*($B15*$B15*0.0000785398),IF($C$3="English",($C$5/SUM($M$12:$M$24))*$C$6^7*($B15*$B15*0.005454154)))</f>
        <v>12.921812251861201</v>
      </c>
      <c r="V17" s="34">
        <f>IF($C$3="Metric",($C$5/SUM($M$12:$M$23))*$C$6^6*($B15*$B15*0.0000785398),IF($C$3="English",($C$5/SUM($M$12:$M$23))*$C$6^6*($B15*$B15*0.005454154)))</f>
        <v>10.7265047436965</v>
      </c>
      <c r="W17" s="34">
        <f>IF($C$3="Metric",($C$5/SUM($M$12:$M$22))*$C$6^5*($B15*$B15*0.0000785398),IF($C$3="English",($C$5/SUM($M$12:$M$22))*$C$6^5*($B15*$B15*0.005454154)))</f>
        <v>9.0439875546237118</v>
      </c>
      <c r="X17" s="34">
        <f>IF($C$3="Metric",($C$5/SUM($M$12:$M$21))*$C$6^4*($B15*$B15*0.0000785398),IF($C$3="English",($C$5/SUM($M$12:$M$21))*$C$6^4*($B15*$B15*0.005454154)))</f>
        <v>7.7727563620486757</v>
      </c>
      <c r="Y17" s="34">
        <f>IF($C$3="Metric",($C$5/SUM($M$12:$M$20))*$C$6^3*($B15*$B15*0.0000785398),IF($C$3="English",($C$5/SUM($M$12:$M$20))*$C$6^3*($B15*$B15*0.005454154)))</f>
        <v>6.8409592690000833</v>
      </c>
      <c r="Z17" s="16">
        <f t="shared" si="1"/>
        <v>9.8965806129509968</v>
      </c>
      <c r="AA17" s="16" t="str">
        <f t="shared" si="2"/>
        <v/>
      </c>
      <c r="AB17" s="17">
        <f t="shared" si="3"/>
        <v>9.8965806129509968</v>
      </c>
      <c r="AC17" s="16">
        <f t="shared" si="4"/>
        <v>7.7727563620486757</v>
      </c>
      <c r="AD17" s="16" t="str">
        <f t="shared" si="5"/>
        <v/>
      </c>
      <c r="AE17" s="17">
        <f t="shared" si="6"/>
        <v>7.7727563620486757</v>
      </c>
      <c r="AF17" s="30">
        <f t="shared" si="7"/>
        <v>12.566370816000001</v>
      </c>
    </row>
    <row r="18" spans="2:32" ht="15" customHeight="1" x14ac:dyDescent="0.25">
      <c r="B18" s="12">
        <f>IF($C$3="Metric",45,IF($C$3="English",18))</f>
        <v>18</v>
      </c>
      <c r="C18" s="13" t="str">
        <f>IF($C$3="English","17 - 19 ",IF($C$3="Metric","42.5 - 47.5 "))</f>
        <v xml:space="preserve">17 - 19 </v>
      </c>
      <c r="D18" s="4">
        <v>3</v>
      </c>
      <c r="E18" s="45"/>
      <c r="F18" s="45"/>
      <c r="G18" s="45"/>
      <c r="H18" s="66"/>
      <c r="I18" s="81"/>
      <c r="J18" s="81"/>
      <c r="K18" s="82"/>
      <c r="M18" s="35">
        <f t="shared" si="0"/>
        <v>2.3486241622480004</v>
      </c>
      <c r="N18" s="36">
        <f>IF($C$3="Metric",($C$5/$M$32)*$C$6^13*(B16*B16*0.0000785398),IF($C$3="English",($C$5/$M$32)*$C$6^13*(B16*B16*0.005454154)))</f>
        <v>64.525858096907967</v>
      </c>
      <c r="O18" s="36">
        <f>IF($C$3="Metric",($C$5/SUM($M$12:$M$30))*$C$6^12*($B16*$B16*0.0000785398),IF($C$3="English",($C$5/SUM($M$12:$M$30))*$C$6^12*($B16*$B16*0.005454154)))</f>
        <v>50.701303106259388</v>
      </c>
      <c r="P18" s="36">
        <f>IF($C$3="Metric",($C$5/SUM($M$12:$M$29))*$C$6^11*($B16*$B16*0.0000785398),IF($C$3="English",($C$5/SUM($M$12:$M$29))*$C$6^11*($B16*$B16*0.005454154)))</f>
        <v>40.00915903561468</v>
      </c>
      <c r="Q18" s="36">
        <f>IF($C$3="Metric",($C$5/SUM($M$12:$M$28))*$C$6^10*($B16*$B16*0.0000785398),IF($C$3="English",($C$5/SUM($M$12:$M$28))*$C$6^10*($B16*$B16*0.005454154)))</f>
        <v>31.733358849623993</v>
      </c>
      <c r="R18" s="36">
        <f>IF($C$3="Metric",($C$5/SUM($M$12:$M$27))*$C$6^9*($B16*$B16*0.0000785398),IF($C$3="English",($C$5/SUM($M$12:$M$27))*$C$6^9*($B16*$B16*0.005454154)))</f>
        <v>25.323447641903297</v>
      </c>
      <c r="S18" s="36">
        <f>IF($C$3="Metric",($C$5/SUM($M$12:$M$26))*$C$6^8*($B16*$B16*0.0000785398),IF($C$3="English",($C$5/SUM($M$12:$M$26))*$C$6^8*($B16*$B16*0.005454154)))</f>
        <v>20.356512438139809</v>
      </c>
      <c r="T18" s="36">
        <f>IF($C$3="Metric",($C$5/SUM($M$12:$M$25))*$C$6^7*($B16*$B16*0.0000785398),IF($C$3="English",($C$5/SUM($M$12:$M$25))*$C$6^7*($B16*$B16*0.005454154)))</f>
        <v>16.507975173005796</v>
      </c>
      <c r="U18" s="36">
        <f>IF($C$3="Metric",($C$5/SUM($M$12:$M$24))*$C$6^6*($B16*$B16*0.0000785398),IF($C$3="English",($C$5/SUM($M$12:$M$24))*$C$6^6*($B16*$B16*0.005454154)))</f>
        <v>13.529247870538434</v>
      </c>
      <c r="V18" s="36">
        <f>IF($C$3="Metric",($C$5/SUM($M$12:$M$23))*$C$6^5*($B16*$B16*0.0000785398),IF($C$3="English",($C$5/SUM($M$12:$M$23))*$C$6^5*($B16*$B16*0.005454154)))</f>
        <v>11.23074214617796</v>
      </c>
      <c r="W18" s="36">
        <f>IF($C$3="Metric",($C$5/SUM($M$12:$M$22))*$C$6^4*($B16*$B16*0.0000785398),IF($C$3="English",($C$5/SUM($M$12:$M$22))*$C$6^4*($B16*$B16*0.005454154)))</f>
        <v>9.4691322687299539</v>
      </c>
      <c r="X18" s="36">
        <f>IF($C$3="Metric",($C$5/SUM($M$12:$M$21))*$C$6^3*($B16*$B16*0.0000785398),IF($C$3="English",($C$5/SUM($M$12:$M$21))*$C$6^3*($B16*$B16*0.005454154)))</f>
        <v>8.1381423448800234</v>
      </c>
      <c r="Y18" s="36">
        <f>IF($C$3="Metric",($C$5/SUM($M$12:$M$20))*$C$6^2*($B16*$B16*0.0000785398),IF($C$3="English",($C$5/SUM($M$12:$M$20))*$C$6^2*($B16*$B16*0.005454154)))</f>
        <v>7.1625428243804281</v>
      </c>
      <c r="Z18" s="16">
        <f t="shared" si="1"/>
        <v>7.6127543176546135</v>
      </c>
      <c r="AA18" s="16" t="str">
        <f t="shared" si="2"/>
        <v/>
      </c>
      <c r="AB18" s="17">
        <f t="shared" si="3"/>
        <v>7.6127543176546135</v>
      </c>
      <c r="AC18" s="16">
        <f t="shared" si="4"/>
        <v>8.1381423448800234</v>
      </c>
      <c r="AD18" s="16" t="str">
        <f t="shared" si="5"/>
        <v/>
      </c>
      <c r="AE18" s="17">
        <f t="shared" si="6"/>
        <v>8.1381423448800234</v>
      </c>
      <c r="AF18" s="30">
        <f t="shared" si="7"/>
        <v>20.311269496000001</v>
      </c>
    </row>
    <row r="19" spans="2:32" ht="15" customHeight="1" x14ac:dyDescent="0.25">
      <c r="B19" s="12">
        <f>IF($C$3="Metric",50,IF($C$3="English",20))</f>
        <v>20</v>
      </c>
      <c r="C19" s="13" t="str">
        <f>IF($C$3="English","19 - 21 ",IF($C$3="Metric","47.5 - 52.5 "))</f>
        <v xml:space="preserve">19 - 21 </v>
      </c>
      <c r="D19" s="4">
        <v>1</v>
      </c>
      <c r="E19" s="72"/>
      <c r="F19" s="72"/>
      <c r="G19" s="72"/>
      <c r="H19" s="67"/>
      <c r="I19" s="83"/>
      <c r="J19" s="83"/>
      <c r="K19" s="84"/>
      <c r="M19" s="35">
        <f t="shared" si="0"/>
        <v>2.3596851865600001</v>
      </c>
      <c r="N19" s="36">
        <f>IF($C$3="Metric",($C$5/$M$32)*$C$6^12*(B17*B17*0.0000785398),IF($C$3="English",($C$5/$M$32)*$C$6^12*(B17*B17*0.005454154)))</f>
        <v>64.829747538494658</v>
      </c>
      <c r="O19" s="36">
        <f>IF($C$3="Metric",($C$5/SUM($M$12:$M$30))*$C$6^11*($B17*$B17*0.0000785398),IF($C$3="English",($C$5/SUM($M$12:$M$30))*$C$6^11*($B17*$B17*0.005454154)))</f>
        <v>50.940084753541605</v>
      </c>
      <c r="P19" s="36">
        <f>IF($C$3="Metric",($C$5/SUM($M$12:$M$29))*$C$6^10*($B17*$B17*0.0000785398),IF($C$3="English",($C$5/SUM($M$12:$M$29))*$C$6^10*($B17*$B17*0.005454154)))</f>
        <v>40.197585216316149</v>
      </c>
      <c r="Q19" s="36">
        <f>IF($C$3="Metric",($C$5/SUM($M$12:$M$28))*$C$6^9*($B17*$B17*0.0000785398),IF($C$3="English",($C$5/SUM($M$12:$M$28))*$C$6^9*($B17*$B17*0.005454154)))</f>
        <v>31.882809519245455</v>
      </c>
      <c r="R19" s="36">
        <f>IF($C$3="Metric",($C$5/SUM($M$12:$M$27))*$C$6^8*($B17*$B17*0.0000785398),IF($C$3="English",($C$5/SUM($M$12:$M$27))*$C$6^8*($B17*$B17*0.005454154)))</f>
        <v>25.442710346653236</v>
      </c>
      <c r="S19" s="36">
        <f>IF($C$3="Metric",($C$5/SUM($M$12:$M$26))*$C$6^7*($B17*$B17*0.0000785398),IF($C$3="English",($C$5/SUM($M$12:$M$26))*$C$6^7*($B17*$B17*0.005454154)))</f>
        <v>20.452382983374381</v>
      </c>
      <c r="T19" s="36">
        <f>IF($C$3="Metric",($C$5/SUM($M$12:$M$25))*$C$6^6*($B17*$B17*0.0000785398),IF($C$3="English",($C$5/SUM($M$12:$M$25))*$C$6^6*($B17*$B17*0.005454154)))</f>
        <v>16.585720738969712</v>
      </c>
      <c r="U19" s="36">
        <f>IF($C$3="Metric",($C$5/SUM($M$12:$M$24))*$C$6^5*($B17*$B17*0.0000785398),IF($C$3="English",($C$5/SUM($M$12:$M$24))*$C$6^5*($B17*$B17*0.005454154)))</f>
        <v>13.592964893476603</v>
      </c>
      <c r="V19" s="36">
        <f>IF($C$3="Metric",($C$5/SUM($M$12:$M$23))*$C$6^4*($B17*$B17*0.0000785398),IF($C$3="English",($C$5/SUM($M$12:$M$23))*$C$6^4*($B17*$B17*0.005454154)))</f>
        <v>11.283634181403285</v>
      </c>
      <c r="W19" s="36">
        <f>IF($C$3="Metric",($C$5/SUM($M$12:$M$22))*$C$6^3*($B17*$B17*0.0000785398),IF($C$3="English",($C$5/SUM($M$12:$M$22))*$C$6^3*($B17*$B17*0.005454154)))</f>
        <v>9.5137278681117277</v>
      </c>
      <c r="X19" s="36">
        <f>IF($C$3="Metric",($C$5/SUM($M$12:$M$21))*$C$6^2*($B17*$B17*0.0000785398),IF($C$3="English",($C$5/SUM($M$12:$M$21))*$C$6^2*($B17*$B17*0.005454154)))</f>
        <v>8.1764695458763175</v>
      </c>
      <c r="Y19" s="36">
        <f>IF($C$3="Metric",($C$5/SUM($M$12:$M$20))*$C$6*($B17*$B17*0.0000785398),IF($C$3="English",($C$5/SUM($M$12:$M$20))*$C$6*($B17*$B17*0.005454154)))</f>
        <v>7.1962753651545892</v>
      </c>
      <c r="Z19" s="16">
        <f t="shared" si="1"/>
        <v>5.8559648597343168</v>
      </c>
      <c r="AA19" s="16" t="str">
        <f t="shared" si="2"/>
        <v/>
      </c>
      <c r="AB19" s="17">
        <f t="shared" si="3"/>
        <v>5.8559648597343168</v>
      </c>
      <c r="AC19" s="16">
        <f t="shared" si="4"/>
        <v>8.1764695458763175</v>
      </c>
      <c r="AD19" s="16" t="str">
        <f t="shared" si="5"/>
        <v/>
      </c>
      <c r="AE19" s="17">
        <f t="shared" si="6"/>
        <v>8.1764695458763175</v>
      </c>
      <c r="AF19" s="30">
        <f t="shared" si="7"/>
        <v>8.3775805440000006</v>
      </c>
    </row>
    <row r="20" spans="2:32" ht="15" customHeight="1" x14ac:dyDescent="0.25">
      <c r="B20" s="12">
        <f>IF($C$3="Metric",55,IF($C$3="English",22))</f>
        <v>22</v>
      </c>
      <c r="C20" s="13" t="str">
        <f>IF($C$3="English","21 - 23 ",IF($C$3="Metric","52.5 - 57.5 "))</f>
        <v xml:space="preserve">21 - 23 </v>
      </c>
      <c r="D20" s="4">
        <v>0</v>
      </c>
      <c r="E20" s="44">
        <f>IF($C$3="English",(B20*B20*0.005454154*D20)+(B21*B21*0.005454154*D21)+(B22*B22*0.005454154*D22)+(B23*B23*0.005454154*D23)+(B24*B24*0.005454154*D24)+(B25*B25*0.005454154*D25)+(B26*B26*0.005454154*D26)+(B27*B27*0.005454154*D27)+(B28*B28*0.005454154*D28)+(B29*B29*0.005454154*D29),IF($C$3="Metric",(B20*B20*0.0000785398*D20)+(B21*B21*0.0000785398*D21)+(B22*B22*0.0000785398*D22)+(B23*B23*0.0000785398*D23)+(B24*B24*0.0000785398*D24)+(B25*B25*0.0000785398*D25)+(B26*B26*0.0000785398*D26)+(B27*B27*0.0000785398*D27)+(B28*B28*0.0000785398*D28)+(B29*B29*0.0000785398*D29),""))</f>
        <v>0</v>
      </c>
      <c r="F20" s="44" t="str">
        <f>IF($C$4=$B$29,SUM(N22:N31),IF($C$4=$B$28,SUM(O22:O30),IF($C$4=$B$27,SUM(P22:P29),IF($C$4=$B$26,SUM(Q22:Q28),IF($C$4=$B$25,SUM(R22:R27),IF($C$4=$B$24,SUM(S22:S26),IF($C$4=$B$23,SUM(T22:T25),IF($C$4=$B$22,SUM(U22:U24),IF($C$4=$B$21,SUM(V22:V23),IF($C$4=$B$20,SUM(W22),""))))))))))</f>
        <v/>
      </c>
      <c r="G20" s="44" t="str">
        <f>IF(AND($C$4&gt;$B$19,$C$4&lt;=$B$29),(E20-F20)/E20,"")</f>
        <v/>
      </c>
      <c r="H20" s="52" t="str">
        <f>IF($C$3="English","For trees in 20 inches or larger",IF($C$3="Metric","For trees in 50 cm or larger",""))</f>
        <v>For trees in 20 inches or larger</v>
      </c>
      <c r="I20" s="47" t="str">
        <f>IF(G20&lt;0.1,"no cut",IF(AND(G20&gt;0.1,G20&lt;0.22),"1 of every 5 trees",IF(AND(G20&gt;0.22,G20&lt;0.29),"1 of every 4 trees",IF(AND(G20&gt;0.29,G20&lt;0.37),"1 of every 3 trees",IF(AND(G20&gt;0.37,G20&lt;0.45),"2 of every 5 trees",IF(AND(G20&gt;0.45,G20&lt;0.56),"1 of every 2 trees",IF(AND(G20&gt;0.56,G20&lt;0.63),"3 of every 5 trees",IF(AND(G20&gt;0.63,G20&lt;0.71),"2 of every 3 trees",IF(AND(G20&gt;0.71,G20&lt;0.78),"3 of every 4 trees",IF(AND(G20&gt;0.78,G20&lt;1),"4 of every 5 trees",""))))))))))</f>
        <v/>
      </c>
      <c r="J20" s="48"/>
      <c r="K20" s="49"/>
      <c r="M20" s="35">
        <f t="shared" si="0"/>
        <v>2.2972896648000001</v>
      </c>
      <c r="N20" s="36">
        <f>IF($C$3="Metric",($C$5/$M$32)*$C$6^11*(B18*B18*0.0000785398),IF($C$3="English",($C$5/$M$32)*$C$6^11*(B18*B18*0.005454154)))</f>
        <v>63.115499406467144</v>
      </c>
      <c r="O20" s="36">
        <f>IF($C$3="Metric",($C$5/SUM($M$12:$M$30))*$C$6^10*($B18*$B18*0.0000785398),IF($C$3="English",($C$5/SUM($M$12:$M$30))*$C$6^10*($B18*$B18*0.005454154)))</f>
        <v>49.59311135861622</v>
      </c>
      <c r="P20" s="36">
        <f>IF($C$3="Metric",($C$5/SUM($M$12:$M$29))*$C$6^9*($B18*$B18*0.0000785398),IF($C$3="English",($C$5/SUM($M$12:$M$29))*$C$6^9*($B18*$B18*0.005454154)))</f>
        <v>39.134668299538554</v>
      </c>
      <c r="Q20" s="36">
        <f>IF($C$3="Metric",($C$5/SUM($M$12:$M$28))*$C$6^8*($B18*$B18*0.0000785398),IF($C$3="English",($C$5/SUM($M$12:$M$28))*$C$6^8*($B18*$B18*0.005454154)))</f>
        <v>31.039754459842328</v>
      </c>
      <c r="R20" s="36">
        <f>IF($C$3="Metric",($C$5/SUM($M$12:$M$27))*$C$6^7*($B18*$B18*0.0000785398),IF($C$3="English",($C$5/SUM($M$12:$M$27))*$C$6^7*($B18*$B18*0.005454154)))</f>
        <v>24.769946371140772</v>
      </c>
      <c r="S20" s="36">
        <f>IF($C$3="Metric",($C$5/SUM($M$12:$M$26))*$C$6^6*($B18*$B18*0.0000785398),IF($C$3="English",($C$5/SUM($M$12:$M$26))*$C$6^6*($B18*$B18*0.005454154)))</f>
        <v>19.911574779487076</v>
      </c>
      <c r="T20" s="36">
        <f>IF($C$3="Metric",($C$5/SUM($M$12:$M$25))*$C$6^5*($B18*$B18*0.0000785398),IF($C$3="English",($C$5/SUM($M$12:$M$25))*$C$6^5*($B18*$B18*0.005454154)))</f>
        <v>16.147156007891187</v>
      </c>
      <c r="U20" s="36">
        <f>IF($C$3="Metric",($C$5/SUM($M$12:$M$24))*$C$6^4*($B18*$B18*0.0000785398),IF($C$3="English",($C$5/SUM($M$12:$M$24))*$C$6^4*($B18*$B18*0.005454154)))</f>
        <v>13.233535533312557</v>
      </c>
      <c r="V20" s="36">
        <f>IF($C$3="Metric",($C$5/SUM($M$12:$M$23))*$C$6^3*($B18*$B18*0.0000785398),IF($C$3="English",($C$5/SUM($M$12:$M$23))*$C$6^3*($B18*$B18*0.005454154)))</f>
        <v>10.98526885449118</v>
      </c>
      <c r="W20" s="36">
        <f>IF($C$3="Metric",($C$5/SUM($M$12:$M$22))*$C$6^2*($B18*$B18*0.0000785398),IF($C$3="English",($C$5/SUM($M$12:$M$22))*$C$6^2*($B18*$B18*0.005454154)))</f>
        <v>9.2621629485222332</v>
      </c>
      <c r="X20" s="36">
        <f>IF($C$3="Metric",($C$5/SUM($M$12:$M$21))*$C$6*($B18*$B18*0.0000785398),IF($C$3="English",($C$5/SUM($M$12:$M$21))*$C$6*($B18*$B18*0.005454154)))</f>
        <v>7.9602648223074723</v>
      </c>
      <c r="Y20" s="36">
        <f>IF($C$3="Metric",($C$5/SUM($M$12:$M$20))*($B18*$B18*0.0000785398),IF($C$3="English",$C$5/SUM($M$12:$M$20))*($B18*$B18*0.005454154))</f>
        <v>7.0059892377105966</v>
      </c>
      <c r="Z20" s="16">
        <f t="shared" si="1"/>
        <v>4.5045883536417826</v>
      </c>
      <c r="AA20" s="16" t="str">
        <f t="shared" si="2"/>
        <v/>
      </c>
      <c r="AB20" s="17">
        <f t="shared" si="3"/>
        <v>4.5045883536417826</v>
      </c>
      <c r="AC20" s="16">
        <f t="shared" si="4"/>
        <v>7.9602648223074723</v>
      </c>
      <c r="AD20" s="16" t="str">
        <f t="shared" si="5"/>
        <v/>
      </c>
      <c r="AE20" s="17">
        <f t="shared" si="6"/>
        <v>7.9602648223074723</v>
      </c>
      <c r="AF20" s="30">
        <f t="shared" si="7"/>
        <v>5.301437688</v>
      </c>
    </row>
    <row r="21" spans="2:32" ht="15" customHeight="1" x14ac:dyDescent="0.25">
      <c r="B21" s="12">
        <f>IF($C$3="Metric",60,IF($C$3="English",24))</f>
        <v>24</v>
      </c>
      <c r="C21" s="13" t="str">
        <f>IF($C$3="English","23 - 25 ",IF($C$3="Metric","57.5 - 62.5"))</f>
        <v xml:space="preserve">23 - 25 </v>
      </c>
      <c r="D21" s="4">
        <v>0</v>
      </c>
      <c r="E21" s="45"/>
      <c r="F21" s="45"/>
      <c r="G21" s="45"/>
      <c r="H21" s="53"/>
      <c r="I21" s="48"/>
      <c r="J21" s="48"/>
      <c r="K21" s="49"/>
      <c r="M21" s="35">
        <f t="shared" si="0"/>
        <v>2.1816616</v>
      </c>
      <c r="N21" s="36">
        <f>IF($C$3="Metric",($C$5/$M$32)*$C$6^10*(B19*B19*0.0000785398),IF($C$3="English",($C$5/$M$32)*$C$6^10*(B19*B19*0.005454154)))</f>
        <v>59.938745875087498</v>
      </c>
      <c r="O21" s="36">
        <f>IF($C$3="Metric",($C$5/SUM($M$12:$M$30))*$C$6^9*($B19*$B19*0.0000785398),IF($C$3="English",($C$5/SUM($M$12:$M$30))*$C$6^9*($B19*$B19*0.005454154)))</f>
        <v>47.096971850537713</v>
      </c>
      <c r="P21" s="36">
        <f>IF($C$3="Metric",($C$5/SUM($M$12:$M$29))*$C$6^8*($B19*$B19*0.0000785398),IF($C$3="English",($C$5/SUM($M$12:$M$29))*$C$6^8*($B19*$B19*0.005454154)))</f>
        <v>37.164927160055612</v>
      </c>
      <c r="Q21" s="36">
        <f>IF($C$3="Metric",($C$5/SUM($M$12:$M$28))*$C$6^7*($B19*$B19*0.0000785398),IF($C$3="English",($C$5/SUM($M$12:$M$28))*$C$6^7*($B19*$B19*0.005454154)))</f>
        <v>29.477449629479899</v>
      </c>
      <c r="R21" s="36">
        <f>IF($C$3="Metric",($C$5/SUM($M$12:$M$27))*$C$6^6*($B19*$B19*0.0000785398),IF($C$3="English",($C$5/SUM($M$12:$M$27))*$C$6^6*($B19*$B19*0.005454154)))</f>
        <v>23.523215927009275</v>
      </c>
      <c r="S21" s="36">
        <f>IF($C$3="Metric",($C$5/SUM($M$12:$M$26))*$C$6^5*($B19*$B19*0.0000785398),IF($C$3="English",($C$5/SUM($M$12:$M$26))*$C$6^5*($B19*$B19*0.005454154)))</f>
        <v>18.909377758297314</v>
      </c>
      <c r="T21" s="36">
        <f>IF($C$3="Metric",($C$5/SUM($M$12:$M$25))*$C$6^4*($B19*$B19*0.0000785398),IF($C$3="English",($C$5/SUM($M$12:$M$25))*$C$6^4*($B19*$B19*0.005454154)))</f>
        <v>15.334431156591817</v>
      </c>
      <c r="U21" s="36">
        <f>IF($C$3="Metric",($C$5/SUM($M$12:$M$24))*$C$6^3*($B19*$B19*0.0000785398),IF($C$3="English",($C$5/SUM($M$12:$M$24))*$C$6^3*($B19*$B19*0.005454154)))</f>
        <v>12.567460145595971</v>
      </c>
      <c r="V21" s="36">
        <f>IF($C$3="Metric",($C$5/SUM($M$12:$M$23))*$C$6^2*($B19*$B19*0.0000785398),IF($C$3="English",($C$5/SUM($M$12:$M$23))*$C$6^2*($B19*$B19*0.005454154)))</f>
        <v>10.432354087835877</v>
      </c>
      <c r="W21" s="36">
        <f>IF($C$3="Metric",($C$5/SUM($M$12:$M$22))*$C$6*($B19*$B19*0.0000785398),IF($C$3="English",($C$5/SUM($M$12:$M$22))*$C$6*($B19*$B19*0.005454154)))</f>
        <v>8.7959762094228235</v>
      </c>
      <c r="X21" s="36">
        <f>IF($C$3="Metric",($C$5/SUM($M$12:$M$21))*($B19*$B19*0.0000785398),IF($C$3="English",$C$5/SUM($M$12:$M$21))*($B19*$B19*0.005454154))</f>
        <v>7.5596057191903814</v>
      </c>
      <c r="Y21" s="36"/>
      <c r="Z21" s="16">
        <f t="shared" si="1"/>
        <v>3.4650679643398323</v>
      </c>
      <c r="AA21" s="16" t="str">
        <f t="shared" si="2"/>
        <v/>
      </c>
      <c r="AB21" s="17">
        <f t="shared" si="3"/>
        <v>3.4650679643398323</v>
      </c>
      <c r="AC21" s="16">
        <f t="shared" si="4"/>
        <v>7.5596057191903814</v>
      </c>
      <c r="AD21" s="16" t="str">
        <f t="shared" si="5"/>
        <v/>
      </c>
      <c r="AE21" s="17">
        <f t="shared" si="6"/>
        <v>7.5596057191903814</v>
      </c>
      <c r="AF21" s="30">
        <f t="shared" si="7"/>
        <v>2.1816616</v>
      </c>
    </row>
    <row r="22" spans="2:32" ht="15" customHeight="1" x14ac:dyDescent="0.25">
      <c r="B22" s="12">
        <f>IF($C$3="Metric",65,IF($C$3="English",26))</f>
        <v>26</v>
      </c>
      <c r="C22" s="13" t="str">
        <f>IF($C$3="English","25 - 27 ",IF($C$3="Metric","62.5 - 67.5 "))</f>
        <v xml:space="preserve">25 - 27 </v>
      </c>
      <c r="D22" s="4">
        <v>0</v>
      </c>
      <c r="E22" s="45"/>
      <c r="F22" s="45"/>
      <c r="G22" s="45"/>
      <c r="H22" s="53"/>
      <c r="I22" s="48"/>
      <c r="J22" s="48"/>
      <c r="K22" s="49"/>
      <c r="M22" s="35">
        <f t="shared" si="0"/>
        <v>2.0306234892307691</v>
      </c>
      <c r="N22" s="36">
        <f>IF($C$3="Metric",($C$5/$M$32)*$C$6^9*(B20*B20*0.0000785398),IF($C$3="English",($C$5/$M$32)*$C$6^9*(B20*B20*0.005454154)))</f>
        <v>55.789140391427594</v>
      </c>
      <c r="O22" s="36">
        <f>IF($C$3="Metric",($C$5/SUM($M$12:$M$30))*$C$6^8*($B20*$B20*0.0000785398),IF($C$3="English",($C$5/SUM($M$12:$M$30))*$C$6^8*($B20*$B20*0.005454154)))</f>
        <v>43.836412260885112</v>
      </c>
      <c r="P22" s="36">
        <f>IF($C$3="Metric",($C$5/SUM($M$12:$M$29))*$C$6^7*($B20*$B20*0.0000785398),IF($C$3="English",($C$5/SUM($M$12:$M$29))*$C$6^7*($B20*$B20*0.005454154)))</f>
        <v>34.591970664359458</v>
      </c>
      <c r="Q22" s="36">
        <f>IF($C$3="Metric",($C$5/SUM($M$12:$M$28))*$C$6^6*($B20*$B20*0.0000785398),IF($C$3="English",($C$5/SUM($M$12:$M$28))*$C$6^6*($B20*$B20*0.005454154)))</f>
        <v>27.436703116669754</v>
      </c>
      <c r="R22" s="36">
        <f>IF($C$3="Metric",($C$5/SUM($M$12:$M$27))*$C$6^5*($B20*$B20*0.0000785398),IF($C$3="English",($C$5/SUM($M$12:$M$27))*$C$6^5*($B20*$B20*0.005454154)))</f>
        <v>21.894685593600943</v>
      </c>
      <c r="S22" s="36">
        <f>IF($C$3="Metric",($C$5/SUM($M$12:$M$26))*$C$6^4*($B20*$B20*0.0000785398),IF($C$3="English",($C$5/SUM($M$12:$M$26))*$C$6^4*($B20*$B20*0.005454154)))</f>
        <v>17.600266990415193</v>
      </c>
      <c r="T22" s="36">
        <f>IF($C$3="Metric",($C$5/SUM($M$12:$M$25))*$C$6^3*($B20*$B20*0.0000785398),IF($C$3="English",($C$5/SUM($M$12:$M$25))*$C$6^3*($B20*$B20*0.005454154)))</f>
        <v>14.272816691904692</v>
      </c>
      <c r="U22" s="36">
        <f>IF($C$3="Metric",($C$5/SUM($M$12:$M$24))*$C$6^2*($B20*$B20*0.0000785398),IF($C$3="English",($C$5/SUM($M$12:$M$24))*$C$6^2*($B20*$B20*0.005454154)))</f>
        <v>11.697405212439326</v>
      </c>
      <c r="V22" s="36">
        <f>IF($C$3="Metric",($C$5/SUM($M$12:$M$23))*$C$6*($B20*$B20*0.0000785398),IF($C$3="English",($C$5/SUM($M$12:$M$23))*$C$6*($B20*$B20*0.005454154)))</f>
        <v>9.7101141894472409</v>
      </c>
      <c r="W22" s="36">
        <f>IF($C$3="Metric",($C$5/SUM($M$12:$M$22))*($B20*$B20*0.0000785398),IF($C$3="English",$C$5/SUM($M$12:$M$22))*($B20*$B20*0.005454154))</f>
        <v>8.1870240103089351</v>
      </c>
      <c r="X22" s="36"/>
      <c r="Y22" s="36"/>
      <c r="Z22" s="16">
        <f t="shared" si="1"/>
        <v>0</v>
      </c>
      <c r="AA22" s="16" t="str">
        <f t="shared" si="2"/>
        <v/>
      </c>
      <c r="AB22" s="17">
        <f t="shared" si="3"/>
        <v>0</v>
      </c>
      <c r="AC22" s="16">
        <f t="shared" si="4"/>
        <v>0</v>
      </c>
      <c r="AD22" s="16" t="str">
        <f t="shared" si="5"/>
        <v/>
      </c>
      <c r="AE22" s="17">
        <f t="shared" si="6"/>
        <v>0</v>
      </c>
      <c r="AF22" s="30">
        <f t="shared" si="7"/>
        <v>0</v>
      </c>
    </row>
    <row r="23" spans="2:32" ht="15" customHeight="1" x14ac:dyDescent="0.25">
      <c r="B23" s="12">
        <f>IF($C$3="Metric",70,IF($C$3="English",28))</f>
        <v>28</v>
      </c>
      <c r="C23" s="13" t="str">
        <f>IF($C$3="English","27 - 29 ",IF($C$3="Metric","67.5 - 72.5"))</f>
        <v xml:space="preserve">27 - 29 </v>
      </c>
      <c r="D23" s="4">
        <v>0</v>
      </c>
      <c r="E23" s="45"/>
      <c r="F23" s="45"/>
      <c r="G23" s="45"/>
      <c r="H23" s="53"/>
      <c r="I23" s="48"/>
      <c r="J23" s="48"/>
      <c r="K23" s="49"/>
      <c r="M23" s="35">
        <f t="shared" si="0"/>
        <v>1.85893059408284</v>
      </c>
      <c r="N23" s="36">
        <f>IF($C$3="Metric",($C$5/$M$32)*$C$6^8*(B21*B21*0.0000785398),IF($C$3="English",($C$5/$M$32)*$C$6^8*(B21*B21*0.005454154)))</f>
        <v>51.072067491198816</v>
      </c>
      <c r="O23" s="36">
        <f>IF($C$3="Metric",($C$5/SUM($M$12:$M$30))*$C$6^7*($B21*$B21*0.0000785398),IF($C$3="English",($C$5/SUM($M$12:$M$30))*$C$6^7*($B21*$B21*0.005454154)))</f>
        <v>40.12996418033984</v>
      </c>
      <c r="P23" s="36">
        <f>IF($C$3="Metric",($C$5/SUM($M$12:$M$29))*$C$6^6*($B21*$B21*0.0000785398),IF($C$3="English",($C$5/SUM($M$12:$M$29))*$C$6^6*($B21*$B21*0.005454154)))</f>
        <v>31.66715687010656</v>
      </c>
      <c r="Q23" s="36">
        <f>IF($C$3="Metric",($C$5/SUM($M$12:$M$28))*$C$6^5*($B21*$B21*0.0000785398),IF($C$3="English",($C$5/SUM($M$12:$M$28))*$C$6^5*($B21*$B21*0.005454154)))</f>
        <v>25.116880157663342</v>
      </c>
      <c r="R23" s="36">
        <f>IF($C$3="Metric",($C$5/SUM($M$12:$M$27))*$C$6^4*($B21*$B21*0.0000785398),IF($C$3="English",($C$5/SUM($M$12:$M$27))*$C$6^4*($B21*$B21*0.005454154)))</f>
        <v>20.043450257333348</v>
      </c>
      <c r="S23" s="36">
        <f>IF($C$3="Metric",($C$5/SUM($M$12:$M$26))*$C$6^3*($B21*$B21*0.0000785398),IF($C$3="English",($C$5/SUM($M$12:$M$26))*$C$6^3*($B21*$B21*0.005454154)))</f>
        <v>16.112132527779963</v>
      </c>
      <c r="T23" s="36">
        <f>IF($C$3="Metric",($C$5/SUM($M$12:$M$25))*$C$6^2*($B21*$B21*0.0000785398),IF($C$3="English",($C$5/SUM($M$12:$M$25))*$C$6^2*($B21*$B21*0.005454154)))</f>
        <v>13.066024180764625</v>
      </c>
      <c r="U23" s="36">
        <f>IF($C$3="Metric",($C$5/SUM($M$12:$M$24))*$C$6*($B21*$B21*0.0000785398),IF($C$3="English",($C$5/SUM($M$12:$M$24))*$C$6*($B21*$B21*0.005454154)))</f>
        <v>10.708368408081773</v>
      </c>
      <c r="V23" s="36">
        <f>IF($C$3="Metric",($C$5/SUM($M$12:$M$23))*($B21*$B21*0.0000785398),IF($C$3="English",$C$5/SUM($M$12:$M$23))*($B21*$B21*0.005454154))</f>
        <v>8.8891064417063106</v>
      </c>
      <c r="W23" s="36"/>
      <c r="X23" s="36"/>
      <c r="Y23" s="36"/>
      <c r="Z23" s="16">
        <f t="shared" si="1"/>
        <v>0</v>
      </c>
      <c r="AA23" s="16" t="str">
        <f t="shared" si="2"/>
        <v/>
      </c>
      <c r="AB23" s="17">
        <f t="shared" si="3"/>
        <v>0</v>
      </c>
      <c r="AC23" s="16">
        <f t="shared" si="4"/>
        <v>0</v>
      </c>
      <c r="AD23" s="16" t="str">
        <f t="shared" si="5"/>
        <v/>
      </c>
      <c r="AE23" s="17">
        <f t="shared" si="6"/>
        <v>0</v>
      </c>
      <c r="AF23" s="30">
        <f t="shared" si="7"/>
        <v>0</v>
      </c>
    </row>
    <row r="24" spans="2:32" ht="15" customHeight="1" x14ac:dyDescent="0.25">
      <c r="B24" s="12">
        <f>IF($C$3="Metric",75,IF($C$3="English",30))</f>
        <v>30</v>
      </c>
      <c r="C24" s="13" t="str">
        <f>IF($C$3="English","29 - 31 ",IF($C$3="Metric","72.5 - 77.5 "))</f>
        <v xml:space="preserve">29 - 31 </v>
      </c>
      <c r="D24" s="4">
        <v>0</v>
      </c>
      <c r="E24" s="45"/>
      <c r="F24" s="45"/>
      <c r="G24" s="45"/>
      <c r="H24" s="53"/>
      <c r="I24" s="48"/>
      <c r="J24" s="48"/>
      <c r="K24" s="49"/>
      <c r="M24" s="35">
        <f t="shared" si="0"/>
        <v>1.6782012307692304</v>
      </c>
      <c r="N24" s="36">
        <f>IF($C$3="Metric",($C$5/$M$32)*$C$6^7*(B22*B22*0.0000785398),IF($C$3="English",($C$5/$M$32)*$C$6^7*(B22*B22*0.005454154)))</f>
        <v>46.106727596221162</v>
      </c>
      <c r="O24" s="36">
        <f>IF($C$3="Metric",($C$5/SUM($M$12:$M$30))*$C$6^6*($B22*$B22*0.0000785398),IF($C$3="English",($C$5/SUM($M$12:$M$30))*$C$6^6*($B22*$B22*0.005454154)))</f>
        <v>36.228439885029019</v>
      </c>
      <c r="P24" s="36">
        <f>IF($C$3="Metric",($C$5/SUM($M$12:$M$29))*$C$6^5*($B22*$B22*0.0000785398),IF($C$3="English",($C$5/SUM($M$12:$M$29))*$C$6^5*($B22*$B22*0.005454154)))</f>
        <v>28.588405507735086</v>
      </c>
      <c r="Q24" s="36">
        <f>IF($C$3="Metric",($C$5/SUM($M$12:$M$28))*$C$6^4*($B22*$B22*0.0000785398),IF($C$3="English",($C$5/SUM($M$12:$M$28))*$C$6^4*($B22*$B22*0.005454154)))</f>
        <v>22.674961253446074</v>
      </c>
      <c r="R24" s="36">
        <f>IF($C$3="Metric",($C$5/SUM($M$12:$M$27))*$C$6^3*($B22*$B22*0.0000785398),IF($C$3="English",($C$5/SUM($M$12:$M$27))*$C$6^3*($B22*$B22*0.005454154)))</f>
        <v>18.094781482314826</v>
      </c>
      <c r="S24" s="36">
        <f>IF($C$3="Metric",($C$5/SUM($M$12:$M$26))*$C$6^2*($B22*$B22*0.0000785398),IF($C$3="English",($C$5/SUM($M$12:$M$26))*$C$6^2*($B22*$B22*0.005454154)))</f>
        <v>14.545675198690242</v>
      </c>
      <c r="T24" s="36">
        <f>IF($C$3="Metric",($C$5/SUM($M$12:$M$25))*$C$6*($B22*$B22*0.0000785398),IF($C$3="English",($C$5/SUM($M$12:$M$25))*$C$6*($B22*$B22*0.005454154)))</f>
        <v>11.795716274301396</v>
      </c>
      <c r="U24" s="36">
        <f>IF($C$3="Metric",($C$5/SUM($M$12:$M$24))*($B22*$B22*0.0000785398),IF($C$3="English",$C$5/SUM($M$12:$M$24))*($B22*$B22*0.005454154))</f>
        <v>9.6672770350738233</v>
      </c>
      <c r="V24" s="36"/>
      <c r="W24" s="36"/>
      <c r="X24" s="36"/>
      <c r="Y24" s="36"/>
      <c r="Z24" s="16">
        <f t="shared" si="1"/>
        <v>0</v>
      </c>
      <c r="AA24" s="16" t="str">
        <f t="shared" si="2"/>
        <v/>
      </c>
      <c r="AB24" s="17">
        <f t="shared" si="3"/>
        <v>0</v>
      </c>
      <c r="AC24" s="16">
        <f t="shared" si="4"/>
        <v>0</v>
      </c>
      <c r="AD24" s="16" t="str">
        <f t="shared" si="5"/>
        <v/>
      </c>
      <c r="AE24" s="17">
        <f t="shared" si="6"/>
        <v>0</v>
      </c>
      <c r="AF24" s="30">
        <f t="shared" si="7"/>
        <v>0</v>
      </c>
    </row>
    <row r="25" spans="2:32" ht="15" customHeight="1" x14ac:dyDescent="0.25">
      <c r="B25" s="12">
        <f>IF($C$3="Metric",80,IF($C$3="English",32))</f>
        <v>32</v>
      </c>
      <c r="C25" s="13" t="str">
        <f>IF($C$3="English","31 - 33 ",IF($C$3="Metric","77.5 - 82.5 "))</f>
        <v xml:space="preserve">31 - 33 </v>
      </c>
      <c r="D25" s="4">
        <v>0</v>
      </c>
      <c r="E25" s="45"/>
      <c r="F25" s="45"/>
      <c r="G25" s="45"/>
      <c r="H25" s="53"/>
      <c r="I25" s="48"/>
      <c r="J25" s="48"/>
      <c r="K25" s="49"/>
      <c r="M25" s="35">
        <f t="shared" si="0"/>
        <v>1.4971663233080073</v>
      </c>
      <c r="N25" s="36">
        <f>IF($C$3="Metric",($C$5/$M$32)*$C$6^6*(B23*B23*0.0000785398),IF($C$3="English",($C$5/$M$32)*$C$6^6*(B23*B23*0.005454154)))</f>
        <v>41.132993212832709</v>
      </c>
      <c r="O25" s="36">
        <f>IF($C$3="Metric",($C$5/SUM($M$12:$M$30))*$C$6^5*($B23*$B23*0.0000785398),IF($C$3="English",($C$5/SUM($M$12:$M$30))*$C$6^5*($B23*$B23*0.005454154)))</f>
        <v>32.320319606125111</v>
      </c>
      <c r="P25" s="36">
        <f>IF($C$3="Metric",($C$5/SUM($M$12:$M$29))*$C$6^4*($B23*$B23*0.0000785398),IF($C$3="English",($C$5/SUM($M$12:$M$29))*$C$6^4*($B23*$B23*0.005454154)))</f>
        <v>25.504449155739991</v>
      </c>
      <c r="Q25" s="36">
        <f>IF($C$3="Metric",($C$5/SUM($M$12:$M$28))*$C$6^3*($B23*$B23*0.0000785398),IF($C$3="English",($C$5/SUM($M$12:$M$28))*$C$6^3*($B23*$B23*0.005454154)))</f>
        <v>20.228913999433001</v>
      </c>
      <c r="R25" s="36">
        <f>IF($C$3="Metric",($C$5/SUM($M$12:$M$27))*$C$6^2*($B23*$B23*0.0000785398),IF($C$3="English",($C$5/SUM($M$12:$M$27))*$C$6^2*($B23*$B23*0.005454154)))</f>
        <v>16.142818254591287</v>
      </c>
      <c r="S25" s="36">
        <f>IF($C$3="Metric",($C$5/SUM($M$12:$M$26))*$C$6*($B23*$B23*0.0000785398),IF($C$3="English",($C$5/SUM($M$12:$M$26))*$C$6*($B23*$B23*0.005454154)))</f>
        <v>12.976569590092341</v>
      </c>
      <c r="T25" s="36">
        <f>IF($C$3="Metric",($C$5/SUM($M$12:$M$25))*($B23*$B23*0.0000785398),IF($C$3="English",$C$5/SUM($M$12:$M$25))*($B23*$B23*0.005454154))</f>
        <v>10.5232607636007</v>
      </c>
      <c r="U25" s="36"/>
      <c r="V25" s="36"/>
      <c r="W25" s="36"/>
      <c r="X25" s="36"/>
      <c r="Y25" s="36"/>
      <c r="Z25" s="16">
        <f t="shared" si="1"/>
        <v>0</v>
      </c>
      <c r="AA25" s="16" t="str">
        <f t="shared" si="2"/>
        <v/>
      </c>
      <c r="AB25" s="17">
        <f t="shared" si="3"/>
        <v>0</v>
      </c>
      <c r="AC25" s="16">
        <f t="shared" si="4"/>
        <v>0</v>
      </c>
      <c r="AD25" s="16" t="str">
        <f t="shared" si="5"/>
        <v/>
      </c>
      <c r="AE25" s="17">
        <f t="shared" si="6"/>
        <v>0</v>
      </c>
      <c r="AF25" s="30">
        <f t="shared" si="7"/>
        <v>0</v>
      </c>
    </row>
    <row r="26" spans="2:32" ht="15" customHeight="1" x14ac:dyDescent="0.25">
      <c r="B26" s="12">
        <f>IF($C$3="Metric",85,IF($C$3="English",34))</f>
        <v>34</v>
      </c>
      <c r="C26" s="13" t="str">
        <f>IF($C$3="English","33 - 35 ",IF($C$3="Metric","82.5 - 87.5 "))</f>
        <v xml:space="preserve">33 - 35 </v>
      </c>
      <c r="D26" s="4">
        <v>0</v>
      </c>
      <c r="E26" s="45"/>
      <c r="F26" s="45"/>
      <c r="G26" s="45"/>
      <c r="H26" s="53"/>
      <c r="I26" s="48"/>
      <c r="J26" s="48"/>
      <c r="K26" s="49"/>
      <c r="M26" s="35">
        <f t="shared" si="0"/>
        <v>1.3220660233292842</v>
      </c>
      <c r="N26" s="36">
        <f>IF($C$3="Metric",($C$5/$M$32)*$C$6^5*(B24*B24*0.0000785398),IF($C$3="English",($C$5/$M$32)*$C$6^5*(B24*B24*0.005454154)))</f>
        <v>36.32230562357676</v>
      </c>
      <c r="O26" s="36">
        <f>IF($C$3="Metric",($C$5/SUM($M$12:$M$30))*$C$6^4*($B24*$B24*0.0000785398),IF($C$3="English",($C$5/SUM($M$12:$M$30))*$C$6^4*($B24*$B24*0.005454154)))</f>
        <v>28.540313623933084</v>
      </c>
      <c r="P26" s="36">
        <f>IF($C$3="Metric",($C$5/SUM($M$12:$M$29))*$C$6^3*($B24*$B24*0.0000785398),IF($C$3="English",($C$5/SUM($M$12:$M$29))*$C$6^3*($B24*$B24*0.005454154)))</f>
        <v>22.521589717588295</v>
      </c>
      <c r="Q26" s="36">
        <f>IF($C$3="Metric",($C$5/SUM($M$12:$M$28))*$C$6^2*($B24*$B24*0.0000785398),IF($C$3="English",($C$5/SUM($M$12:$M$28))*$C$6^2*($B24*$B24*0.005454154)))</f>
        <v>17.863052001069171</v>
      </c>
      <c r="R26" s="36">
        <f>IF($C$3="Metric",($C$5/SUM($M$12:$M$27))*$C$6*($B24*$B24*0.0000785398),IF($C$3="English",($C$5/SUM($M$12:$M$27))*$C$6*($B24*$B24*0.005454154)))</f>
        <v>14.254843435176763</v>
      </c>
      <c r="S26" s="36">
        <f>IF($C$3="Metric",($C$5/SUM($M$12:$M$26))*($B24*$B24*0.0000785398),IF($C$3="English",$C$5/SUM($M$12:$M$26))*($B24*$B24*0.005454154))</f>
        <v>11.458901718095669</v>
      </c>
      <c r="T26" s="36"/>
      <c r="U26" s="36"/>
      <c r="V26" s="36"/>
      <c r="W26" s="36"/>
      <c r="X26" s="36"/>
      <c r="Y26" s="36"/>
      <c r="Z26" s="16">
        <f t="shared" si="1"/>
        <v>0</v>
      </c>
      <c r="AA26" s="16" t="str">
        <f t="shared" si="2"/>
        <v/>
      </c>
      <c r="AB26" s="17">
        <f t="shared" si="3"/>
        <v>0</v>
      </c>
      <c r="AC26" s="16">
        <f t="shared" si="4"/>
        <v>0</v>
      </c>
      <c r="AD26" s="16" t="str">
        <f t="shared" si="5"/>
        <v/>
      </c>
      <c r="AE26" s="17">
        <f t="shared" si="6"/>
        <v>0</v>
      </c>
      <c r="AF26" s="30">
        <f t="shared" si="7"/>
        <v>0</v>
      </c>
    </row>
    <row r="27" spans="2:32" ht="15" customHeight="1" x14ac:dyDescent="0.25">
      <c r="B27" s="12">
        <f>IF($C$3="Metric",90,IF($C$3="English",36))</f>
        <v>36</v>
      </c>
      <c r="C27" s="13" t="str">
        <f>IF($C$3="English","35 - 37 ",IF($C$3="Metric","87.5 - 92.5 "))</f>
        <v xml:space="preserve">35 - 37 </v>
      </c>
      <c r="D27" s="4">
        <v>0</v>
      </c>
      <c r="E27" s="45"/>
      <c r="F27" s="45"/>
      <c r="G27" s="45"/>
      <c r="H27" s="53"/>
      <c r="I27" s="48"/>
      <c r="J27" s="48"/>
      <c r="K27" s="49"/>
      <c r="M27" s="35">
        <f t="shared" si="0"/>
        <v>1.157090263153151</v>
      </c>
      <c r="N27" s="36">
        <f>IF($C$3="Metric",($C$5/$M$32)*$C$6^4*(B25*B25*0.0000785398),IF($C$3="English",($C$5/$M$32)*$C$6^4*(B25*B25*0.005454154)))</f>
        <v>31.789778597044958</v>
      </c>
      <c r="O27" s="36">
        <f>IF($C$3="Metric",($C$5/SUM($M$12:$M$30))*$C$6^3*($B25*$B25*0.0000785398),IF($C$3="English",($C$5/SUM($M$12:$M$30))*$C$6^3*($B25*$B25*0.005454154)))</f>
        <v>24.978872778553402</v>
      </c>
      <c r="P27" s="36">
        <f>IF($C$3="Metric",($C$5/SUM($M$12:$M$29))*$C$6^2*($B25*$B25*0.0000785398),IF($C$3="English",($C$5/SUM($M$12:$M$29))*$C$6^2*($B25*$B25*0.005454154)))</f>
        <v>19.71120330838497</v>
      </c>
      <c r="Q27" s="36">
        <f>IF($C$3="Metric",($C$5/SUM($M$12:$M$28))*$C$6*($B25*$B25*0.0000785398),IF($C$3="English",($C$5/SUM($M$12:$M$28))*$C$6*($B25*$B25*0.005454154)))</f>
        <v>15.633987392388743</v>
      </c>
      <c r="R27" s="36">
        <f>IF($C$3="Metric",($C$5/SUM($M$12:$M$27))*($B25*$B25*0.0000785398),IF($C$3="English",$C$5/SUM($M$12:$M$27))*($B25*$B25*0.005454154))</f>
        <v>12.476033912496586</v>
      </c>
      <c r="S27" s="36"/>
      <c r="T27" s="36"/>
      <c r="U27" s="36"/>
      <c r="V27" s="36"/>
      <c r="W27" s="36"/>
      <c r="X27" s="36"/>
      <c r="Y27" s="36"/>
      <c r="Z27" s="16">
        <f t="shared" si="1"/>
        <v>0</v>
      </c>
      <c r="AA27" s="16" t="str">
        <f t="shared" si="2"/>
        <v/>
      </c>
      <c r="AB27" s="17">
        <f t="shared" si="3"/>
        <v>0</v>
      </c>
      <c r="AC27" s="16">
        <f t="shared" si="4"/>
        <v>0</v>
      </c>
      <c r="AD27" s="16" t="str">
        <f t="shared" si="5"/>
        <v/>
      </c>
      <c r="AE27" s="17">
        <f t="shared" si="6"/>
        <v>0</v>
      </c>
      <c r="AF27" s="30">
        <f t="shared" si="7"/>
        <v>0</v>
      </c>
    </row>
    <row r="28" spans="2:32" ht="15" customHeight="1" x14ac:dyDescent="0.25">
      <c r="B28" s="12">
        <f>IF($C$3="Metric",95,IF($C$3="English",38))</f>
        <v>38</v>
      </c>
      <c r="C28" s="13" t="str">
        <f>IF($C$3="English","37 - 39 ",IF($C$3="Metric","92.5 - 97.5 "))</f>
        <v xml:space="preserve">37 - 39 </v>
      </c>
      <c r="D28" s="4">
        <v>0</v>
      </c>
      <c r="E28" s="45"/>
      <c r="F28" s="45"/>
      <c r="G28" s="45"/>
      <c r="H28" s="53"/>
      <c r="I28" s="48"/>
      <c r="J28" s="48"/>
      <c r="K28" s="49"/>
      <c r="M28" s="35">
        <f t="shared" si="0"/>
        <v>1.0048049460674899</v>
      </c>
      <c r="N28" s="36">
        <f>IF($C$3="Metric",($C$5/$M$32)*$C$6^3*(B26*B26*0.0000785398),IF($C$3="English",($C$5/$M$32)*$C$6^3*(B26*B26*0.005454154)))</f>
        <v>27.605907495630991</v>
      </c>
      <c r="O28" s="36">
        <f>IF($C$3="Metric",($C$5/SUM($M$12:$M$30))*$C$6^2*($B26*$B26*0.0000785398),IF($C$3="English",($C$5/SUM($M$12:$M$30))*$C$6^2*($B26*$B26*0.005454154)))</f>
        <v>21.691388921279842</v>
      </c>
      <c r="P28" s="36">
        <f>IF($C$3="Metric",($C$5/SUM($M$12:$M$29))*$C$6*($B26*$B26*0.0000785398),IF($C$3="English",($C$5/SUM($M$12:$M$29))*$C$6*($B26*$B26*0.005454154)))</f>
        <v>17.117000469120359</v>
      </c>
      <c r="Q28" s="36">
        <f>IF($C$3="Metric",($C$5/SUM($M$12:$M$28))*($B26*$B26*0.0000785398),IF($C$3="English",$C$5/SUM($M$12:$M$28))*($B26*$B26*0.005454154))</f>
        <v>13.576389292068349</v>
      </c>
      <c r="R28" s="36"/>
      <c r="S28" s="36"/>
      <c r="T28" s="36"/>
      <c r="U28" s="36"/>
      <c r="V28" s="36"/>
      <c r="W28" s="36"/>
      <c r="X28" s="36"/>
      <c r="Y28" s="36"/>
      <c r="Z28" s="16">
        <f t="shared" si="1"/>
        <v>0</v>
      </c>
      <c r="AA28" s="16" t="str">
        <f t="shared" si="2"/>
        <v/>
      </c>
      <c r="AB28" s="17">
        <f t="shared" si="3"/>
        <v>0</v>
      </c>
      <c r="AC28" s="16">
        <f t="shared" si="4"/>
        <v>0</v>
      </c>
      <c r="AD28" s="16" t="str">
        <f t="shared" si="5"/>
        <v/>
      </c>
      <c r="AE28" s="17">
        <f t="shared" si="6"/>
        <v>0</v>
      </c>
      <c r="AF28" s="30">
        <f t="shared" si="7"/>
        <v>0</v>
      </c>
    </row>
    <row r="29" spans="2:32" ht="15" customHeight="1" x14ac:dyDescent="0.25">
      <c r="B29" s="18">
        <f>IF($C$3="Metric",100,IF($C$3="English",40))</f>
        <v>40</v>
      </c>
      <c r="C29" s="19" t="str">
        <f>IF($C$3="English","39 - 41 ",IF($C$3="Metric","97.5 - 102.5 "))</f>
        <v xml:space="preserve">39 - 41 </v>
      </c>
      <c r="D29" s="5">
        <v>0</v>
      </c>
      <c r="E29" s="46"/>
      <c r="F29" s="46"/>
      <c r="G29" s="46"/>
      <c r="H29" s="54"/>
      <c r="I29" s="50"/>
      <c r="J29" s="50"/>
      <c r="K29" s="51"/>
      <c r="M29" s="35">
        <f t="shared" si="0"/>
        <v>0.86653394337467859</v>
      </c>
      <c r="N29" s="36">
        <f>IF($C$3="Metric",($C$5/$M$32)*$C$6^2*(B27*B27*0.0000785398),IF($C$3="English",($C$5/$M$32)*$C$6^2*(B27*B27*0.005454154)))</f>
        <v>23.807064223008886</v>
      </c>
      <c r="O29" s="36">
        <f>IF($C$3="Metric",($C$5/SUM($M$12:$M$30))*$C$6*($B27*$B27*0.0000785398),IF($C$3="English",($C$5/SUM($M$12:$M$30))*$C$6*($B27*$B27*0.005454154)))</f>
        <v>18.706441337489135</v>
      </c>
      <c r="P29" s="36">
        <f>IF($C$3="Metric",($C$5/SUM($M$12:$M$29))*($B27*$B27*0.0000785398),IF($C$3="English",$C$5/SUM($M$12:$M$29))*($B27*$B27*0.005454154))</f>
        <v>14.761533542706935</v>
      </c>
      <c r="Q29" s="36"/>
      <c r="R29" s="36"/>
      <c r="S29" s="36"/>
      <c r="T29" s="36"/>
      <c r="U29" s="36"/>
      <c r="V29" s="36"/>
      <c r="W29" s="36"/>
      <c r="X29" s="36"/>
      <c r="Y29" s="36"/>
      <c r="Z29" s="16">
        <f t="shared" si="1"/>
        <v>0</v>
      </c>
      <c r="AA29" s="16" t="str">
        <f t="shared" si="2"/>
        <v/>
      </c>
      <c r="AB29" s="17">
        <f t="shared" si="3"/>
        <v>0</v>
      </c>
      <c r="AC29" s="16">
        <f t="shared" si="4"/>
        <v>0</v>
      </c>
      <c r="AD29" s="16" t="str">
        <f t="shared" si="5"/>
        <v/>
      </c>
      <c r="AE29" s="17">
        <f t="shared" si="6"/>
        <v>0</v>
      </c>
      <c r="AF29" s="30">
        <f t="shared" si="7"/>
        <v>0</v>
      </c>
    </row>
    <row r="30" spans="2:32" x14ac:dyDescent="0.25">
      <c r="B30" s="20" t="s">
        <v>6</v>
      </c>
      <c r="C30" s="21"/>
      <c r="D30" s="22">
        <f>SUM(D10:D29)</f>
        <v>157</v>
      </c>
      <c r="E30" s="23">
        <f>SUM(E10:E29)</f>
        <v>76.423605847999994</v>
      </c>
      <c r="F30" s="23">
        <f>SUM(F10:F29)</f>
        <v>60</v>
      </c>
      <c r="M30" s="35">
        <f t="shared" si="0"/>
        <v>0.74268460009083337</v>
      </c>
      <c r="N30" s="36">
        <f>IF($C$3="Metric",($C$5/$M$32)*$C$6*(B28*B28*0.0000785398),IF($C$3="English",($C$5/$M$32)*$C$6*(B28*B28*0.005454154)))</f>
        <v>20.404440134155291</v>
      </c>
      <c r="O30" s="36">
        <f>IF($C$3="Metric",($C$5/SUM($M$12:$M$30))*($B28*$B28*0.0000785398),IF($C$3="English",$C$5/SUM($M$12:$M$30))*($B28*$B28*0.005454154))</f>
        <v>16.03282365345104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6">
        <f t="shared" si="1"/>
        <v>0</v>
      </c>
      <c r="AA30" s="16" t="str">
        <f t="shared" si="2"/>
        <v/>
      </c>
      <c r="AB30" s="17">
        <f t="shared" si="3"/>
        <v>0</v>
      </c>
      <c r="AC30" s="16">
        <f t="shared" si="4"/>
        <v>0</v>
      </c>
      <c r="AD30" s="16" t="str">
        <f t="shared" si="5"/>
        <v/>
      </c>
      <c r="AE30" s="17">
        <f t="shared" si="6"/>
        <v>0</v>
      </c>
      <c r="AF30" s="30">
        <f t="shared" si="7"/>
        <v>0</v>
      </c>
    </row>
    <row r="31" spans="2:32" x14ac:dyDescent="0.25">
      <c r="B31" s="7"/>
      <c r="D31" s="7"/>
      <c r="M31" s="35">
        <f t="shared" si="0"/>
        <v>0.63301478805952116</v>
      </c>
      <c r="N31" s="36">
        <f>IF($C$3="Metric",($C$5/$M$32)*($B29*$B29*0.0000785398),IF($C$3="English",$C$5/$M$32)*($B29*$B29*0.005454154))</f>
        <v>17.391383025063107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6">
        <f t="shared" si="1"/>
        <v>0</v>
      </c>
      <c r="AA31" s="16" t="str">
        <f t="shared" si="2"/>
        <v/>
      </c>
      <c r="AB31" s="17">
        <f t="shared" si="3"/>
        <v>0</v>
      </c>
      <c r="AC31" s="16">
        <f t="shared" si="4"/>
        <v>0</v>
      </c>
      <c r="AD31" s="16" t="str">
        <f t="shared" si="5"/>
        <v/>
      </c>
      <c r="AE31" s="17">
        <f t="shared" si="6"/>
        <v>0</v>
      </c>
      <c r="AF31" s="30">
        <f t="shared" si="7"/>
        <v>0</v>
      </c>
    </row>
    <row r="32" spans="2:32" x14ac:dyDescent="0.25">
      <c r="B32" s="7"/>
      <c r="D32" s="7"/>
      <c r="M32" s="24">
        <f>SUM(M12:M31)</f>
        <v>30.106793878636925</v>
      </c>
      <c r="N32" s="24">
        <f>SUM(N12:N31)</f>
        <v>827.15095109400022</v>
      </c>
      <c r="O32" s="24">
        <f t="shared" ref="O32:Y32" si="8">SUM(O12:O31)</f>
        <v>636.26996238000038</v>
      </c>
      <c r="P32" s="24">
        <f t="shared" si="8"/>
        <v>489.43843260000017</v>
      </c>
      <c r="Q32" s="24">
        <f t="shared" si="8"/>
        <v>376.49110200000024</v>
      </c>
      <c r="R32" s="24">
        <f t="shared" si="8"/>
        <v>289.60854000000012</v>
      </c>
      <c r="S32" s="24">
        <f t="shared" si="8"/>
        <v>222.77580000000006</v>
      </c>
      <c r="T32" s="24">
        <f t="shared" si="8"/>
        <v>171.36600000000004</v>
      </c>
      <c r="U32" s="24">
        <f t="shared" si="8"/>
        <v>131.82000000000005</v>
      </c>
      <c r="V32" s="24">
        <f t="shared" si="8"/>
        <v>101.4</v>
      </c>
      <c r="W32" s="24">
        <f t="shared" si="8"/>
        <v>78</v>
      </c>
      <c r="X32" s="24">
        <f t="shared" si="8"/>
        <v>60</v>
      </c>
      <c r="Y32" s="24">
        <f t="shared" si="8"/>
        <v>46.153846153846153</v>
      </c>
      <c r="Z32" s="24"/>
      <c r="AE32" s="38">
        <f t="shared" ref="AE32:AF32" si="9">SUM(AE12:AE31)</f>
        <v>60</v>
      </c>
      <c r="AF32" s="38">
        <f t="shared" si="9"/>
        <v>76.423605848000008</v>
      </c>
    </row>
    <row r="33" spans="2:10" x14ac:dyDescent="0.25">
      <c r="B33" s="7"/>
      <c r="D33" s="7"/>
    </row>
    <row r="34" spans="2:10" x14ac:dyDescent="0.25">
      <c r="B34" s="7"/>
      <c r="D34" s="7"/>
    </row>
    <row r="35" spans="2:10" x14ac:dyDescent="0.25">
      <c r="B35" s="7"/>
      <c r="D35" s="7"/>
      <c r="J35" s="17"/>
    </row>
    <row r="36" spans="2:10" x14ac:dyDescent="0.25">
      <c r="B36" s="7"/>
      <c r="D36" s="7"/>
    </row>
    <row r="37" spans="2:10" x14ac:dyDescent="0.25">
      <c r="B37" s="7"/>
      <c r="D37" s="7"/>
    </row>
    <row r="38" spans="2:10" x14ac:dyDescent="0.25">
      <c r="B38" s="7"/>
      <c r="D38" s="7"/>
    </row>
    <row r="39" spans="2:10" x14ac:dyDescent="0.25">
      <c r="B39" s="7"/>
      <c r="D39" s="7"/>
    </row>
    <row r="40" spans="2:10" x14ac:dyDescent="0.25">
      <c r="B40" s="7"/>
      <c r="D40" s="7"/>
    </row>
    <row r="41" spans="2:10" x14ac:dyDescent="0.25">
      <c r="B41" s="7"/>
      <c r="D41" s="7"/>
    </row>
    <row r="42" spans="2:10" x14ac:dyDescent="0.25">
      <c r="B42" s="7"/>
      <c r="D42" s="7"/>
    </row>
    <row r="43" spans="2:10" x14ac:dyDescent="0.25">
      <c r="B43" s="7"/>
      <c r="D43" s="7"/>
    </row>
    <row r="44" spans="2:10" x14ac:dyDescent="0.25">
      <c r="B44" s="7"/>
      <c r="D44" s="7"/>
    </row>
    <row r="45" spans="2:10" x14ac:dyDescent="0.25">
      <c r="B45" s="7"/>
      <c r="D45" s="7"/>
    </row>
    <row r="46" spans="2:10" x14ac:dyDescent="0.25">
      <c r="B46" s="7"/>
      <c r="D46" s="7"/>
    </row>
    <row r="47" spans="2:10" x14ac:dyDescent="0.25">
      <c r="B47" s="7"/>
      <c r="D47" s="7"/>
    </row>
    <row r="48" spans="2:10" x14ac:dyDescent="0.25">
      <c r="B48" s="7"/>
      <c r="D48" s="7"/>
    </row>
    <row r="49" spans="2:4" x14ac:dyDescent="0.25">
      <c r="B49" s="7"/>
      <c r="D49" s="7"/>
    </row>
    <row r="50" spans="2:4" x14ac:dyDescent="0.25">
      <c r="B50" s="7"/>
      <c r="D50" s="7"/>
    </row>
    <row r="51" spans="2:4" x14ac:dyDescent="0.25">
      <c r="B51" s="7"/>
      <c r="D51" s="7"/>
    </row>
    <row r="52" spans="2:4" x14ac:dyDescent="0.25">
      <c r="B52" s="7"/>
      <c r="D52" s="7"/>
    </row>
    <row r="53" spans="2:4" x14ac:dyDescent="0.25">
      <c r="B53" s="7"/>
      <c r="D53" s="7"/>
    </row>
    <row r="54" spans="2:4" x14ac:dyDescent="0.25">
      <c r="B54" s="7"/>
      <c r="D54" s="7"/>
    </row>
    <row r="55" spans="2:4" x14ac:dyDescent="0.25">
      <c r="B55" s="7"/>
      <c r="D55" s="7"/>
    </row>
    <row r="56" spans="2:4" x14ac:dyDescent="0.25">
      <c r="B56" s="7"/>
      <c r="D56" s="7"/>
    </row>
    <row r="57" spans="2:4" x14ac:dyDescent="0.25">
      <c r="B57" s="7"/>
      <c r="D57" s="7"/>
    </row>
    <row r="58" spans="2:4" x14ac:dyDescent="0.25">
      <c r="B58" s="7"/>
      <c r="D58" s="7"/>
    </row>
    <row r="59" spans="2:4" x14ac:dyDescent="0.25">
      <c r="B59" s="7"/>
      <c r="D59" s="7"/>
    </row>
    <row r="60" spans="2:4" x14ac:dyDescent="0.25">
      <c r="B60" s="7"/>
      <c r="D60" s="7"/>
    </row>
    <row r="61" spans="2:4" x14ac:dyDescent="0.25">
      <c r="B61" s="7"/>
      <c r="D61" s="7"/>
    </row>
    <row r="62" spans="2:4" x14ac:dyDescent="0.25">
      <c r="B62" s="7"/>
      <c r="D62" s="7"/>
    </row>
    <row r="63" spans="2:4" x14ac:dyDescent="0.25">
      <c r="B63" s="7"/>
      <c r="D63" s="7"/>
    </row>
    <row r="64" spans="2:4" x14ac:dyDescent="0.25">
      <c r="B64" s="7"/>
      <c r="D64" s="7"/>
    </row>
    <row r="65" spans="2:4" x14ac:dyDescent="0.25">
      <c r="B65" s="7"/>
      <c r="D65" s="7"/>
    </row>
    <row r="66" spans="2:4" x14ac:dyDescent="0.25">
      <c r="B66" s="7"/>
      <c r="D66" s="7"/>
    </row>
    <row r="67" spans="2:4" x14ac:dyDescent="0.25">
      <c r="B67" s="7"/>
      <c r="D67" s="7"/>
    </row>
    <row r="68" spans="2:4" x14ac:dyDescent="0.25">
      <c r="B68" s="7"/>
      <c r="D68" s="7"/>
    </row>
    <row r="69" spans="2:4" x14ac:dyDescent="0.25">
      <c r="B69" s="7"/>
      <c r="D69" s="7"/>
    </row>
    <row r="70" spans="2:4" x14ac:dyDescent="0.25">
      <c r="B70" s="7"/>
      <c r="D70" s="7"/>
    </row>
    <row r="71" spans="2:4" x14ac:dyDescent="0.25">
      <c r="B71" s="7"/>
      <c r="D71" s="7"/>
    </row>
    <row r="72" spans="2:4" x14ac:dyDescent="0.25">
      <c r="B72" s="7"/>
      <c r="D72" s="7"/>
    </row>
    <row r="73" spans="2:4" x14ac:dyDescent="0.25">
      <c r="B73" s="7"/>
      <c r="D73" s="7"/>
    </row>
    <row r="74" spans="2:4" x14ac:dyDescent="0.25">
      <c r="B74" s="7"/>
      <c r="D74" s="7"/>
    </row>
    <row r="75" spans="2:4" x14ac:dyDescent="0.25">
      <c r="B75" s="7"/>
      <c r="D75" s="7"/>
    </row>
    <row r="76" spans="2:4" x14ac:dyDescent="0.25">
      <c r="B76" s="7"/>
      <c r="D76" s="7"/>
    </row>
    <row r="77" spans="2:4" x14ac:dyDescent="0.25">
      <c r="B77" s="7"/>
      <c r="D77" s="7"/>
    </row>
    <row r="78" spans="2:4" x14ac:dyDescent="0.25">
      <c r="B78" s="7"/>
      <c r="D78" s="7"/>
    </row>
    <row r="79" spans="2:4" x14ac:dyDescent="0.25">
      <c r="B79" s="7"/>
      <c r="D79" s="7"/>
    </row>
    <row r="80" spans="2:4" x14ac:dyDescent="0.25">
      <c r="B80" s="7"/>
      <c r="D80" s="7"/>
    </row>
    <row r="81" spans="2:4" x14ac:dyDescent="0.25">
      <c r="B81" s="7"/>
      <c r="D81" s="7"/>
    </row>
    <row r="82" spans="2:4" x14ac:dyDescent="0.25">
      <c r="B82" s="7"/>
      <c r="D82" s="7"/>
    </row>
    <row r="83" spans="2:4" x14ac:dyDescent="0.25">
      <c r="B83" s="7"/>
      <c r="D83" s="7"/>
    </row>
    <row r="84" spans="2:4" x14ac:dyDescent="0.25">
      <c r="B84" s="7"/>
      <c r="D84" s="7"/>
    </row>
    <row r="85" spans="2:4" x14ac:dyDescent="0.25">
      <c r="B85" s="7"/>
      <c r="D85" s="7"/>
    </row>
    <row r="86" spans="2:4" x14ac:dyDescent="0.25">
      <c r="B86" s="7"/>
      <c r="D86" s="7"/>
    </row>
    <row r="87" spans="2:4" x14ac:dyDescent="0.25">
      <c r="B87" s="7"/>
      <c r="D87" s="7"/>
    </row>
    <row r="88" spans="2:4" x14ac:dyDescent="0.25">
      <c r="B88" s="7"/>
      <c r="D88" s="7"/>
    </row>
    <row r="89" spans="2:4" x14ac:dyDescent="0.25">
      <c r="B89" s="7"/>
      <c r="D89" s="7"/>
    </row>
    <row r="90" spans="2:4" x14ac:dyDescent="0.25">
      <c r="B90" s="7"/>
      <c r="D90" s="7"/>
    </row>
    <row r="91" spans="2:4" x14ac:dyDescent="0.25">
      <c r="B91" s="7"/>
      <c r="D91" s="7"/>
    </row>
    <row r="92" spans="2:4" x14ac:dyDescent="0.25">
      <c r="B92" s="7"/>
      <c r="D92" s="7"/>
    </row>
    <row r="93" spans="2:4" x14ac:dyDescent="0.25">
      <c r="B93" s="7"/>
      <c r="D93" s="7"/>
    </row>
    <row r="94" spans="2:4" x14ac:dyDescent="0.25">
      <c r="B94" s="7"/>
      <c r="D94" s="7"/>
    </row>
    <row r="95" spans="2:4" x14ac:dyDescent="0.25">
      <c r="B95" s="7"/>
      <c r="D95" s="7"/>
    </row>
    <row r="96" spans="2:4" x14ac:dyDescent="0.25">
      <c r="B96" s="7"/>
      <c r="D96" s="7"/>
    </row>
    <row r="97" spans="2:4" x14ac:dyDescent="0.25">
      <c r="B97" s="7"/>
      <c r="D97" s="7"/>
    </row>
    <row r="98" spans="2:4" x14ac:dyDescent="0.25">
      <c r="B98" s="7"/>
      <c r="D98" s="7"/>
    </row>
    <row r="99" spans="2:4" x14ac:dyDescent="0.25">
      <c r="B99" s="7"/>
      <c r="D99" s="7"/>
    </row>
    <row r="100" spans="2:4" x14ac:dyDescent="0.25">
      <c r="B100" s="7"/>
      <c r="D100" s="7"/>
    </row>
    <row r="101" spans="2:4" x14ac:dyDescent="0.25">
      <c r="B101" s="7"/>
      <c r="D101" s="7"/>
    </row>
    <row r="102" spans="2:4" x14ac:dyDescent="0.25">
      <c r="B102" s="7"/>
      <c r="D102" s="7"/>
    </row>
    <row r="103" spans="2:4" x14ac:dyDescent="0.25">
      <c r="B103" s="7"/>
      <c r="D103" s="7"/>
    </row>
    <row r="104" spans="2:4" x14ac:dyDescent="0.25">
      <c r="B104" s="7"/>
      <c r="D104" s="7"/>
    </row>
    <row r="105" spans="2:4" x14ac:dyDescent="0.25">
      <c r="B105" s="7"/>
      <c r="D105" s="7"/>
    </row>
    <row r="106" spans="2:4" x14ac:dyDescent="0.25">
      <c r="B106" s="7"/>
      <c r="D106" s="7"/>
    </row>
    <row r="107" spans="2:4" x14ac:dyDescent="0.25">
      <c r="B107" s="7"/>
      <c r="D107" s="7"/>
    </row>
    <row r="108" spans="2:4" x14ac:dyDescent="0.25">
      <c r="B108" s="7"/>
      <c r="D108" s="7"/>
    </row>
    <row r="109" spans="2:4" x14ac:dyDescent="0.25">
      <c r="B109" s="7"/>
      <c r="D109" s="7"/>
    </row>
    <row r="110" spans="2:4" x14ac:dyDescent="0.25">
      <c r="B110" s="7"/>
      <c r="D110" s="7"/>
    </row>
    <row r="111" spans="2:4" x14ac:dyDescent="0.25">
      <c r="B111" s="7"/>
      <c r="D111" s="7"/>
    </row>
    <row r="112" spans="2:4" x14ac:dyDescent="0.25">
      <c r="B112" s="7"/>
      <c r="D112" s="7"/>
    </row>
    <row r="113" spans="2:4" x14ac:dyDescent="0.25">
      <c r="B113" s="7"/>
      <c r="D113" s="7"/>
    </row>
    <row r="114" spans="2:4" x14ac:dyDescent="0.25">
      <c r="B114" s="7"/>
      <c r="D114" s="7"/>
    </row>
    <row r="115" spans="2:4" x14ac:dyDescent="0.25">
      <c r="B115" s="7"/>
      <c r="D115" s="7"/>
    </row>
    <row r="116" spans="2:4" x14ac:dyDescent="0.25">
      <c r="B116" s="7"/>
      <c r="D116" s="7"/>
    </row>
    <row r="117" spans="2:4" x14ac:dyDescent="0.25">
      <c r="B117" s="7"/>
      <c r="D117" s="7"/>
    </row>
    <row r="118" spans="2:4" x14ac:dyDescent="0.25">
      <c r="B118" s="7"/>
      <c r="D118" s="7"/>
    </row>
    <row r="119" spans="2:4" x14ac:dyDescent="0.25">
      <c r="B119" s="7"/>
      <c r="D119" s="7"/>
    </row>
    <row r="120" spans="2:4" x14ac:dyDescent="0.25">
      <c r="B120" s="7"/>
      <c r="D120" s="7"/>
    </row>
    <row r="121" spans="2:4" x14ac:dyDescent="0.25">
      <c r="B121" s="7"/>
      <c r="D121" s="7"/>
    </row>
    <row r="122" spans="2:4" x14ac:dyDescent="0.25">
      <c r="B122" s="7"/>
      <c r="D122" s="7"/>
    </row>
    <row r="123" spans="2:4" x14ac:dyDescent="0.25">
      <c r="B123" s="7"/>
      <c r="D123" s="7"/>
    </row>
    <row r="124" spans="2:4" x14ac:dyDescent="0.25">
      <c r="B124" s="7"/>
      <c r="D124" s="7"/>
    </row>
    <row r="125" spans="2:4" x14ac:dyDescent="0.25">
      <c r="B125" s="7"/>
      <c r="D125" s="7"/>
    </row>
    <row r="126" spans="2:4" x14ac:dyDescent="0.25">
      <c r="B126" s="7"/>
      <c r="D126" s="7"/>
    </row>
    <row r="127" spans="2:4" x14ac:dyDescent="0.25">
      <c r="B127" s="7"/>
      <c r="D127" s="7"/>
    </row>
    <row r="128" spans="2:4" x14ac:dyDescent="0.25">
      <c r="B128" s="7"/>
      <c r="D128" s="7"/>
    </row>
    <row r="129" spans="2:4" x14ac:dyDescent="0.25">
      <c r="B129" s="7"/>
      <c r="D129" s="7"/>
    </row>
    <row r="130" spans="2:4" x14ac:dyDescent="0.25">
      <c r="B130" s="7"/>
      <c r="D130" s="7"/>
    </row>
    <row r="131" spans="2:4" x14ac:dyDescent="0.25">
      <c r="B131" s="7"/>
      <c r="D131" s="7"/>
    </row>
    <row r="132" spans="2:4" x14ac:dyDescent="0.25">
      <c r="B132" s="7"/>
      <c r="D132" s="7"/>
    </row>
    <row r="133" spans="2:4" x14ac:dyDescent="0.25">
      <c r="B133" s="7"/>
      <c r="D133" s="7"/>
    </row>
    <row r="134" spans="2:4" x14ac:dyDescent="0.25">
      <c r="B134" s="7"/>
      <c r="D134" s="7"/>
    </row>
    <row r="135" spans="2:4" x14ac:dyDescent="0.25">
      <c r="B135" s="7"/>
      <c r="D135" s="7"/>
    </row>
    <row r="136" spans="2:4" x14ac:dyDescent="0.25">
      <c r="B136" s="7"/>
      <c r="D136" s="7"/>
    </row>
    <row r="137" spans="2:4" x14ac:dyDescent="0.25">
      <c r="B137" s="7"/>
      <c r="D137" s="7"/>
    </row>
    <row r="138" spans="2:4" x14ac:dyDescent="0.25">
      <c r="B138" s="7"/>
      <c r="D138" s="7"/>
    </row>
    <row r="139" spans="2:4" x14ac:dyDescent="0.25">
      <c r="B139" s="7"/>
      <c r="D139" s="7"/>
    </row>
    <row r="140" spans="2:4" x14ac:dyDescent="0.25">
      <c r="B140" s="7"/>
      <c r="D140" s="7"/>
    </row>
    <row r="141" spans="2:4" x14ac:dyDescent="0.25">
      <c r="B141" s="7"/>
      <c r="D141" s="7"/>
    </row>
    <row r="142" spans="2:4" x14ac:dyDescent="0.25">
      <c r="B142" s="7"/>
      <c r="D142" s="7"/>
    </row>
    <row r="143" spans="2:4" x14ac:dyDescent="0.25">
      <c r="B143" s="7"/>
      <c r="D143" s="7"/>
    </row>
    <row r="144" spans="2:4" x14ac:dyDescent="0.25">
      <c r="B144" s="7"/>
      <c r="D144" s="7"/>
    </row>
    <row r="145" spans="2:4" x14ac:dyDescent="0.25">
      <c r="B145" s="7"/>
      <c r="D145" s="7"/>
    </row>
    <row r="146" spans="2:4" x14ac:dyDescent="0.25">
      <c r="B146" s="7"/>
      <c r="D146" s="7"/>
    </row>
    <row r="147" spans="2:4" x14ac:dyDescent="0.25">
      <c r="B147" s="7"/>
      <c r="D147" s="7"/>
    </row>
    <row r="148" spans="2:4" x14ac:dyDescent="0.25">
      <c r="B148" s="7"/>
      <c r="D148" s="7"/>
    </row>
    <row r="149" spans="2:4" x14ac:dyDescent="0.25">
      <c r="B149" s="7"/>
      <c r="D149" s="7"/>
    </row>
    <row r="150" spans="2:4" x14ac:dyDescent="0.25">
      <c r="B150" s="7"/>
      <c r="D150" s="7"/>
    </row>
    <row r="151" spans="2:4" x14ac:dyDescent="0.25">
      <c r="B151" s="7"/>
      <c r="D151" s="7"/>
    </row>
    <row r="152" spans="2:4" x14ac:dyDescent="0.25">
      <c r="B152" s="7"/>
      <c r="D152" s="7"/>
    </row>
    <row r="153" spans="2:4" x14ac:dyDescent="0.25">
      <c r="B153" s="7"/>
      <c r="D153" s="7"/>
    </row>
    <row r="154" spans="2:4" x14ac:dyDescent="0.25">
      <c r="B154" s="7"/>
      <c r="D154" s="7"/>
    </row>
    <row r="155" spans="2:4" x14ac:dyDescent="0.25">
      <c r="B155" s="7"/>
      <c r="D155" s="7"/>
    </row>
    <row r="156" spans="2:4" x14ac:dyDescent="0.25">
      <c r="B156" s="7"/>
      <c r="D156" s="7"/>
    </row>
    <row r="157" spans="2:4" x14ac:dyDescent="0.25">
      <c r="B157" s="7"/>
      <c r="D157" s="7"/>
    </row>
    <row r="158" spans="2:4" x14ac:dyDescent="0.25">
      <c r="B158" s="7"/>
      <c r="D158" s="7"/>
    </row>
    <row r="159" spans="2:4" x14ac:dyDescent="0.25">
      <c r="B159" s="7"/>
      <c r="D159" s="7"/>
    </row>
    <row r="160" spans="2:4" x14ac:dyDescent="0.25">
      <c r="B160" s="7"/>
      <c r="D160" s="7"/>
    </row>
    <row r="161" spans="2:4" x14ac:dyDescent="0.25">
      <c r="B161" s="7"/>
      <c r="D161" s="7"/>
    </row>
    <row r="162" spans="2:4" x14ac:dyDescent="0.25">
      <c r="B162" s="7"/>
      <c r="D162" s="7"/>
    </row>
    <row r="163" spans="2:4" x14ac:dyDescent="0.25">
      <c r="B163" s="7"/>
      <c r="D163" s="7"/>
    </row>
    <row r="164" spans="2:4" x14ac:dyDescent="0.25">
      <c r="B164" s="7"/>
      <c r="D164" s="7"/>
    </row>
    <row r="165" spans="2:4" x14ac:dyDescent="0.25">
      <c r="B165" s="7"/>
      <c r="D165" s="7"/>
    </row>
    <row r="166" spans="2:4" x14ac:dyDescent="0.25">
      <c r="B166" s="7"/>
      <c r="D166" s="7"/>
    </row>
    <row r="167" spans="2:4" x14ac:dyDescent="0.25">
      <c r="B167" s="7"/>
      <c r="D167" s="7"/>
    </row>
    <row r="168" spans="2:4" x14ac:dyDescent="0.25">
      <c r="B168" s="7"/>
      <c r="D168" s="7"/>
    </row>
    <row r="169" spans="2:4" x14ac:dyDescent="0.25">
      <c r="B169" s="7"/>
      <c r="D169" s="7"/>
    </row>
    <row r="170" spans="2:4" x14ac:dyDescent="0.25">
      <c r="B170" s="7"/>
      <c r="D170" s="7"/>
    </row>
    <row r="171" spans="2:4" x14ac:dyDescent="0.25">
      <c r="B171" s="7"/>
      <c r="D171" s="7"/>
    </row>
    <row r="172" spans="2:4" x14ac:dyDescent="0.25">
      <c r="B172" s="7"/>
      <c r="D172" s="7"/>
    </row>
    <row r="173" spans="2:4" x14ac:dyDescent="0.25">
      <c r="B173" s="7"/>
      <c r="D173" s="7"/>
    </row>
    <row r="174" spans="2:4" x14ac:dyDescent="0.25">
      <c r="B174" s="7"/>
      <c r="D174" s="7"/>
    </row>
    <row r="175" spans="2:4" x14ac:dyDescent="0.25">
      <c r="B175" s="7"/>
      <c r="D175" s="7"/>
    </row>
    <row r="176" spans="2:4" x14ac:dyDescent="0.25">
      <c r="B176" s="7"/>
      <c r="D176" s="7"/>
    </row>
    <row r="177" spans="2:4" x14ac:dyDescent="0.25">
      <c r="B177" s="7"/>
      <c r="D177" s="7"/>
    </row>
    <row r="178" spans="2:4" x14ac:dyDescent="0.25">
      <c r="B178" s="7"/>
      <c r="D178" s="7"/>
    </row>
    <row r="179" spans="2:4" x14ac:dyDescent="0.25">
      <c r="B179" s="7"/>
      <c r="D179" s="7"/>
    </row>
    <row r="180" spans="2:4" x14ac:dyDescent="0.25">
      <c r="B180" s="7"/>
      <c r="D180" s="7"/>
    </row>
    <row r="181" spans="2:4" x14ac:dyDescent="0.25">
      <c r="B181" s="7"/>
      <c r="D181" s="7"/>
    </row>
    <row r="182" spans="2:4" x14ac:dyDescent="0.25">
      <c r="B182" s="7"/>
      <c r="D182" s="7"/>
    </row>
    <row r="183" spans="2:4" x14ac:dyDescent="0.25">
      <c r="B183" s="7"/>
      <c r="D183" s="7"/>
    </row>
    <row r="184" spans="2:4" x14ac:dyDescent="0.25">
      <c r="B184" s="7"/>
      <c r="D184" s="7"/>
    </row>
    <row r="185" spans="2:4" x14ac:dyDescent="0.25">
      <c r="B185" s="7"/>
      <c r="D185" s="7"/>
    </row>
    <row r="186" spans="2:4" x14ac:dyDescent="0.25">
      <c r="B186" s="7"/>
      <c r="D186" s="7"/>
    </row>
    <row r="187" spans="2:4" x14ac:dyDescent="0.25">
      <c r="B187" s="7"/>
      <c r="D187" s="7"/>
    </row>
    <row r="188" spans="2:4" x14ac:dyDescent="0.25">
      <c r="B188" s="7"/>
      <c r="D188" s="7"/>
    </row>
    <row r="189" spans="2:4" x14ac:dyDescent="0.25">
      <c r="B189" s="7"/>
      <c r="D189" s="7"/>
    </row>
    <row r="190" spans="2:4" x14ac:dyDescent="0.25">
      <c r="B190" s="7"/>
      <c r="D190" s="7"/>
    </row>
    <row r="191" spans="2:4" x14ac:dyDescent="0.25">
      <c r="B191" s="7"/>
      <c r="D191" s="7"/>
    </row>
    <row r="192" spans="2:4" x14ac:dyDescent="0.25">
      <c r="B192" s="7"/>
      <c r="D192" s="7"/>
    </row>
    <row r="193" spans="2:4" x14ac:dyDescent="0.25">
      <c r="B193" s="7"/>
      <c r="D193" s="7"/>
    </row>
    <row r="194" spans="2:4" x14ac:dyDescent="0.25">
      <c r="B194" s="7"/>
      <c r="D194" s="7"/>
    </row>
    <row r="195" spans="2:4" x14ac:dyDescent="0.25">
      <c r="B195" s="7"/>
      <c r="D195" s="7"/>
    </row>
    <row r="196" spans="2:4" x14ac:dyDescent="0.25">
      <c r="B196" s="7"/>
      <c r="D196" s="7"/>
    </row>
    <row r="197" spans="2:4" x14ac:dyDescent="0.25">
      <c r="B197" s="7"/>
      <c r="D197" s="7"/>
    </row>
    <row r="198" spans="2:4" x14ac:dyDescent="0.25">
      <c r="B198" s="7"/>
      <c r="D198" s="7"/>
    </row>
    <row r="199" spans="2:4" x14ac:dyDescent="0.25">
      <c r="B199" s="7"/>
      <c r="D199" s="7"/>
    </row>
    <row r="200" spans="2:4" x14ac:dyDescent="0.25">
      <c r="B200" s="7"/>
      <c r="D200" s="7"/>
    </row>
    <row r="201" spans="2:4" x14ac:dyDescent="0.25">
      <c r="B201" s="7"/>
      <c r="D201" s="7"/>
    </row>
    <row r="202" spans="2:4" x14ac:dyDescent="0.25">
      <c r="B202" s="7"/>
      <c r="D202" s="7"/>
    </row>
    <row r="203" spans="2:4" x14ac:dyDescent="0.25">
      <c r="B203" s="7"/>
      <c r="D203" s="7"/>
    </row>
    <row r="204" spans="2:4" x14ac:dyDescent="0.25">
      <c r="B204" s="7"/>
      <c r="D204" s="7"/>
    </row>
    <row r="205" spans="2:4" x14ac:dyDescent="0.25">
      <c r="B205" s="7"/>
      <c r="D205" s="7"/>
    </row>
    <row r="206" spans="2:4" x14ac:dyDescent="0.25">
      <c r="B206" s="7"/>
      <c r="D206" s="7"/>
    </row>
    <row r="207" spans="2:4" x14ac:dyDescent="0.25">
      <c r="B207" s="7"/>
      <c r="D207" s="7"/>
    </row>
    <row r="208" spans="2:4" x14ac:dyDescent="0.25">
      <c r="B208" s="7"/>
      <c r="D208" s="7"/>
    </row>
    <row r="209" spans="2:4" x14ac:dyDescent="0.25">
      <c r="B209" s="7"/>
      <c r="D209" s="7"/>
    </row>
    <row r="210" spans="2:4" x14ac:dyDescent="0.25">
      <c r="B210" s="7"/>
      <c r="D210" s="7"/>
    </row>
    <row r="211" spans="2:4" x14ac:dyDescent="0.25">
      <c r="B211" s="7"/>
      <c r="D211" s="7"/>
    </row>
    <row r="212" spans="2:4" x14ac:dyDescent="0.25">
      <c r="B212" s="7"/>
      <c r="D212" s="7"/>
    </row>
    <row r="213" spans="2:4" x14ac:dyDescent="0.25">
      <c r="B213" s="7"/>
      <c r="D213" s="7"/>
    </row>
    <row r="214" spans="2:4" x14ac:dyDescent="0.25">
      <c r="B214" s="7"/>
      <c r="D214" s="7"/>
    </row>
    <row r="215" spans="2:4" x14ac:dyDescent="0.25">
      <c r="B215" s="7"/>
      <c r="D215" s="7"/>
    </row>
    <row r="216" spans="2:4" x14ac:dyDescent="0.25">
      <c r="B216" s="7"/>
      <c r="D216" s="7"/>
    </row>
    <row r="217" spans="2:4" x14ac:dyDescent="0.25">
      <c r="B217" s="7"/>
      <c r="D217" s="7"/>
    </row>
    <row r="218" spans="2:4" x14ac:dyDescent="0.25">
      <c r="B218" s="7"/>
      <c r="D218" s="7"/>
    </row>
    <row r="219" spans="2:4" x14ac:dyDescent="0.25">
      <c r="B219" s="7"/>
      <c r="D219" s="7"/>
    </row>
    <row r="220" spans="2:4" x14ac:dyDescent="0.25">
      <c r="B220" s="7"/>
      <c r="D220" s="7"/>
    </row>
    <row r="221" spans="2:4" x14ac:dyDescent="0.25">
      <c r="B221" s="7"/>
      <c r="D221" s="7"/>
    </row>
    <row r="222" spans="2:4" x14ac:dyDescent="0.25">
      <c r="B222" s="7"/>
      <c r="D222" s="7"/>
    </row>
    <row r="223" spans="2:4" x14ac:dyDescent="0.25">
      <c r="B223" s="7"/>
      <c r="D223" s="7"/>
    </row>
    <row r="224" spans="2:4" x14ac:dyDescent="0.25">
      <c r="B224" s="7"/>
      <c r="D224" s="7"/>
    </row>
    <row r="225" spans="2:4" x14ac:dyDescent="0.25">
      <c r="B225" s="7"/>
      <c r="D225" s="7"/>
    </row>
    <row r="226" spans="2:4" x14ac:dyDescent="0.25">
      <c r="B226" s="7"/>
      <c r="D226" s="7"/>
    </row>
    <row r="227" spans="2:4" x14ac:dyDescent="0.25">
      <c r="B227" s="7"/>
      <c r="D227" s="7"/>
    </row>
    <row r="228" spans="2:4" x14ac:dyDescent="0.25">
      <c r="B228" s="7"/>
      <c r="D228" s="7"/>
    </row>
    <row r="229" spans="2:4" x14ac:dyDescent="0.25">
      <c r="B229" s="7"/>
      <c r="D229" s="7"/>
    </row>
    <row r="230" spans="2:4" x14ac:dyDescent="0.25">
      <c r="B230" s="7"/>
      <c r="D230" s="7"/>
    </row>
    <row r="231" spans="2:4" x14ac:dyDescent="0.25">
      <c r="B231" s="7"/>
      <c r="D231" s="7"/>
    </row>
    <row r="232" spans="2:4" x14ac:dyDescent="0.25">
      <c r="B232" s="7"/>
      <c r="D232" s="7"/>
    </row>
    <row r="233" spans="2:4" x14ac:dyDescent="0.25">
      <c r="B233" s="7"/>
      <c r="D233" s="7"/>
    </row>
    <row r="234" spans="2:4" x14ac:dyDescent="0.25">
      <c r="B234" s="7"/>
      <c r="D234" s="7"/>
    </row>
    <row r="235" spans="2:4" x14ac:dyDescent="0.25">
      <c r="B235" s="7"/>
      <c r="D235" s="7"/>
    </row>
    <row r="236" spans="2:4" x14ac:dyDescent="0.25">
      <c r="B236" s="7"/>
      <c r="D236" s="7"/>
    </row>
    <row r="237" spans="2:4" x14ac:dyDescent="0.25">
      <c r="B237" s="7"/>
      <c r="D237" s="7"/>
    </row>
    <row r="238" spans="2:4" x14ac:dyDescent="0.25">
      <c r="B238" s="7"/>
      <c r="D238" s="7"/>
    </row>
    <row r="239" spans="2:4" x14ac:dyDescent="0.25">
      <c r="B239" s="7"/>
      <c r="D239" s="7"/>
    </row>
    <row r="240" spans="2:4" x14ac:dyDescent="0.25">
      <c r="B240" s="7"/>
      <c r="D240" s="7"/>
    </row>
    <row r="241" spans="2:4" x14ac:dyDescent="0.25">
      <c r="B241" s="7"/>
      <c r="D241" s="7"/>
    </row>
    <row r="242" spans="2:4" x14ac:dyDescent="0.25">
      <c r="B242" s="7"/>
      <c r="D242" s="7"/>
    </row>
    <row r="243" spans="2:4" x14ac:dyDescent="0.25">
      <c r="B243" s="7"/>
      <c r="D243" s="7"/>
    </row>
    <row r="244" spans="2:4" x14ac:dyDescent="0.25">
      <c r="B244" s="7"/>
      <c r="D244" s="7"/>
    </row>
    <row r="245" spans="2:4" x14ac:dyDescent="0.25">
      <c r="B245" s="7"/>
      <c r="D245" s="7"/>
    </row>
    <row r="246" spans="2:4" x14ac:dyDescent="0.25">
      <c r="B246" s="7"/>
      <c r="D246" s="7"/>
    </row>
    <row r="247" spans="2:4" x14ac:dyDescent="0.25">
      <c r="B247" s="7"/>
      <c r="D247" s="7"/>
    </row>
    <row r="248" spans="2:4" x14ac:dyDescent="0.25">
      <c r="B248" s="7"/>
      <c r="D248" s="7"/>
    </row>
    <row r="249" spans="2:4" x14ac:dyDescent="0.25">
      <c r="B249" s="7"/>
      <c r="D249" s="7"/>
    </row>
    <row r="250" spans="2:4" x14ac:dyDescent="0.25">
      <c r="B250" s="7"/>
      <c r="D250" s="7"/>
    </row>
    <row r="251" spans="2:4" x14ac:dyDescent="0.25">
      <c r="B251" s="7"/>
      <c r="D251" s="7"/>
    </row>
    <row r="252" spans="2:4" x14ac:dyDescent="0.25">
      <c r="B252" s="7"/>
      <c r="D252" s="7"/>
    </row>
    <row r="253" spans="2:4" x14ac:dyDescent="0.25">
      <c r="B253" s="7"/>
      <c r="D253" s="7"/>
    </row>
    <row r="254" spans="2:4" x14ac:dyDescent="0.25">
      <c r="B254" s="7"/>
      <c r="D254" s="7"/>
    </row>
    <row r="255" spans="2:4" x14ac:dyDescent="0.25">
      <c r="B255" s="7"/>
      <c r="D255" s="7"/>
    </row>
    <row r="256" spans="2:4" x14ac:dyDescent="0.25">
      <c r="B256" s="7"/>
      <c r="D256" s="7"/>
    </row>
    <row r="257" spans="2:4" x14ac:dyDescent="0.25">
      <c r="B257" s="7"/>
      <c r="D257" s="7"/>
    </row>
    <row r="258" spans="2:4" x14ac:dyDescent="0.25">
      <c r="B258" s="7"/>
      <c r="D258" s="7"/>
    </row>
    <row r="259" spans="2:4" x14ac:dyDescent="0.25">
      <c r="B259" s="7"/>
      <c r="D259" s="7"/>
    </row>
    <row r="260" spans="2:4" x14ac:dyDescent="0.25">
      <c r="B260" s="7"/>
      <c r="D260" s="7"/>
    </row>
    <row r="261" spans="2:4" x14ac:dyDescent="0.25">
      <c r="B261" s="7"/>
      <c r="D261" s="7"/>
    </row>
    <row r="262" spans="2:4" x14ac:dyDescent="0.25">
      <c r="B262" s="7"/>
      <c r="D262" s="7"/>
    </row>
    <row r="263" spans="2:4" x14ac:dyDescent="0.25">
      <c r="B263" s="7"/>
      <c r="D263" s="7"/>
    </row>
    <row r="264" spans="2:4" x14ac:dyDescent="0.25">
      <c r="B264" s="7"/>
      <c r="D264" s="7"/>
    </row>
    <row r="265" spans="2:4" x14ac:dyDescent="0.25">
      <c r="B265" s="7"/>
      <c r="D265" s="7"/>
    </row>
    <row r="266" spans="2:4" x14ac:dyDescent="0.25">
      <c r="B266" s="7"/>
      <c r="D266" s="7"/>
    </row>
    <row r="267" spans="2:4" x14ac:dyDescent="0.25">
      <c r="B267" s="7"/>
      <c r="D267" s="7"/>
    </row>
    <row r="268" spans="2:4" x14ac:dyDescent="0.25">
      <c r="B268" s="7"/>
      <c r="D268" s="7"/>
    </row>
    <row r="269" spans="2:4" x14ac:dyDescent="0.25">
      <c r="B269" s="7"/>
      <c r="D269" s="7"/>
    </row>
    <row r="270" spans="2:4" x14ac:dyDescent="0.25">
      <c r="B270" s="7"/>
      <c r="D270" s="7"/>
    </row>
    <row r="271" spans="2:4" x14ac:dyDescent="0.25">
      <c r="B271" s="7"/>
      <c r="D271" s="7"/>
    </row>
    <row r="272" spans="2:4" x14ac:dyDescent="0.25">
      <c r="B272" s="7"/>
      <c r="D272" s="7"/>
    </row>
    <row r="273" spans="2:4" x14ac:dyDescent="0.25">
      <c r="B273" s="7"/>
      <c r="D273" s="7"/>
    </row>
    <row r="274" spans="2:4" x14ac:dyDescent="0.25">
      <c r="B274" s="7"/>
      <c r="D274" s="7"/>
    </row>
    <row r="275" spans="2:4" x14ac:dyDescent="0.25">
      <c r="B275" s="7"/>
      <c r="D275" s="7"/>
    </row>
    <row r="276" spans="2:4" x14ac:dyDescent="0.25">
      <c r="B276" s="7"/>
      <c r="D276" s="7"/>
    </row>
    <row r="277" spans="2:4" x14ac:dyDescent="0.25">
      <c r="B277" s="7"/>
      <c r="D277" s="7"/>
    </row>
    <row r="278" spans="2:4" x14ac:dyDescent="0.25">
      <c r="B278" s="7"/>
      <c r="D278" s="7"/>
    </row>
    <row r="279" spans="2:4" x14ac:dyDescent="0.25">
      <c r="B279" s="7"/>
      <c r="D279" s="7"/>
    </row>
    <row r="280" spans="2:4" x14ac:dyDescent="0.25">
      <c r="B280" s="7"/>
      <c r="D280" s="7"/>
    </row>
    <row r="281" spans="2:4" x14ac:dyDescent="0.25">
      <c r="B281" s="7"/>
      <c r="D281" s="7"/>
    </row>
    <row r="282" spans="2:4" x14ac:dyDescent="0.25">
      <c r="B282" s="7"/>
      <c r="D282" s="7"/>
    </row>
    <row r="283" spans="2:4" x14ac:dyDescent="0.25">
      <c r="B283" s="7"/>
      <c r="D283" s="7"/>
    </row>
    <row r="284" spans="2:4" x14ac:dyDescent="0.25">
      <c r="B284" s="7"/>
      <c r="D284" s="7"/>
    </row>
    <row r="285" spans="2:4" x14ac:dyDescent="0.25">
      <c r="B285" s="7"/>
      <c r="D285" s="7"/>
    </row>
    <row r="286" spans="2:4" x14ac:dyDescent="0.25">
      <c r="B286" s="7"/>
      <c r="D286" s="7"/>
    </row>
    <row r="287" spans="2:4" x14ac:dyDescent="0.25">
      <c r="B287" s="7"/>
      <c r="D287" s="7"/>
    </row>
    <row r="288" spans="2:4" x14ac:dyDescent="0.25">
      <c r="B288" s="7"/>
      <c r="D288" s="7"/>
    </row>
    <row r="289" spans="2:4" x14ac:dyDescent="0.25">
      <c r="B289" s="7"/>
      <c r="D289" s="7"/>
    </row>
    <row r="290" spans="2:4" x14ac:dyDescent="0.25">
      <c r="B290" s="7"/>
      <c r="D290" s="7"/>
    </row>
    <row r="291" spans="2:4" x14ac:dyDescent="0.25">
      <c r="B291" s="7"/>
      <c r="D291" s="7"/>
    </row>
    <row r="292" spans="2:4" x14ac:dyDescent="0.25">
      <c r="B292" s="7"/>
      <c r="D292" s="7"/>
    </row>
    <row r="293" spans="2:4" x14ac:dyDescent="0.25">
      <c r="B293" s="7"/>
      <c r="D293" s="7"/>
    </row>
    <row r="294" spans="2:4" x14ac:dyDescent="0.25">
      <c r="B294" s="7"/>
      <c r="D294" s="7"/>
    </row>
    <row r="295" spans="2:4" x14ac:dyDescent="0.25">
      <c r="B295" s="7"/>
      <c r="D295" s="7"/>
    </row>
    <row r="296" spans="2:4" x14ac:dyDescent="0.25">
      <c r="B296" s="7"/>
      <c r="D296" s="7"/>
    </row>
    <row r="297" spans="2:4" x14ac:dyDescent="0.25">
      <c r="B297" s="7"/>
      <c r="D297" s="7"/>
    </row>
    <row r="298" spans="2:4" x14ac:dyDescent="0.25">
      <c r="B298" s="7"/>
      <c r="D298" s="7"/>
    </row>
    <row r="299" spans="2:4" x14ac:dyDescent="0.25">
      <c r="B299" s="7"/>
      <c r="D299" s="7"/>
    </row>
    <row r="300" spans="2:4" x14ac:dyDescent="0.25">
      <c r="B300" s="7"/>
      <c r="D300" s="7"/>
    </row>
    <row r="301" spans="2:4" x14ac:dyDescent="0.25">
      <c r="B301" s="7"/>
      <c r="D301" s="7"/>
    </row>
    <row r="302" spans="2:4" x14ac:dyDescent="0.25">
      <c r="B302" s="7"/>
      <c r="D302" s="7"/>
    </row>
    <row r="303" spans="2:4" x14ac:dyDescent="0.25">
      <c r="B303" s="7"/>
      <c r="D303" s="7"/>
    </row>
    <row r="304" spans="2:4" x14ac:dyDescent="0.25">
      <c r="B304" s="7"/>
      <c r="D304" s="7"/>
    </row>
    <row r="305" spans="2:4" x14ac:dyDescent="0.25">
      <c r="B305" s="7"/>
      <c r="D305" s="7"/>
    </row>
    <row r="306" spans="2:4" x14ac:dyDescent="0.25">
      <c r="B306" s="7"/>
      <c r="D306" s="7"/>
    </row>
    <row r="307" spans="2:4" x14ac:dyDescent="0.25">
      <c r="B307" s="7"/>
      <c r="D307" s="7"/>
    </row>
    <row r="308" spans="2:4" x14ac:dyDescent="0.25">
      <c r="B308" s="7"/>
      <c r="D308" s="7"/>
    </row>
    <row r="309" spans="2:4" x14ac:dyDescent="0.25">
      <c r="B309" s="7"/>
      <c r="D309" s="7"/>
    </row>
    <row r="310" spans="2:4" x14ac:dyDescent="0.25">
      <c r="B310" s="7"/>
      <c r="D310" s="7"/>
    </row>
    <row r="311" spans="2:4" x14ac:dyDescent="0.25">
      <c r="B311" s="7"/>
      <c r="D311" s="7"/>
    </row>
    <row r="312" spans="2:4" x14ac:dyDescent="0.25">
      <c r="B312" s="7"/>
      <c r="D312" s="7"/>
    </row>
    <row r="313" spans="2:4" x14ac:dyDescent="0.25">
      <c r="B313" s="7"/>
      <c r="D313" s="7"/>
    </row>
    <row r="314" spans="2:4" x14ac:dyDescent="0.25">
      <c r="B314" s="7"/>
      <c r="D314" s="7"/>
    </row>
    <row r="315" spans="2:4" x14ac:dyDescent="0.25">
      <c r="B315" s="7"/>
      <c r="D315" s="7"/>
    </row>
    <row r="316" spans="2:4" x14ac:dyDescent="0.25">
      <c r="B316" s="7"/>
      <c r="D316" s="7"/>
    </row>
    <row r="317" spans="2:4" x14ac:dyDescent="0.25">
      <c r="B317" s="7"/>
      <c r="D317" s="7"/>
    </row>
    <row r="318" spans="2:4" x14ac:dyDescent="0.25">
      <c r="B318" s="7"/>
      <c r="D318" s="7"/>
    </row>
    <row r="319" spans="2:4" x14ac:dyDescent="0.25">
      <c r="B319" s="7"/>
      <c r="D319" s="7"/>
    </row>
    <row r="320" spans="2:4" x14ac:dyDescent="0.25">
      <c r="B320" s="7"/>
      <c r="D320" s="7"/>
    </row>
    <row r="321" spans="2:4" x14ac:dyDescent="0.25">
      <c r="B321" s="7"/>
      <c r="D321" s="7"/>
    </row>
    <row r="322" spans="2:4" x14ac:dyDescent="0.25">
      <c r="B322" s="7"/>
      <c r="D322" s="7"/>
    </row>
    <row r="323" spans="2:4" x14ac:dyDescent="0.25">
      <c r="B323" s="7"/>
      <c r="D323" s="7"/>
    </row>
    <row r="324" spans="2:4" x14ac:dyDescent="0.25">
      <c r="B324" s="7"/>
      <c r="D324" s="7"/>
    </row>
    <row r="325" spans="2:4" x14ac:dyDescent="0.25">
      <c r="B325" s="7"/>
      <c r="D325" s="7"/>
    </row>
    <row r="326" spans="2:4" x14ac:dyDescent="0.25">
      <c r="B326" s="7"/>
      <c r="D326" s="7"/>
    </row>
    <row r="327" spans="2:4" x14ac:dyDescent="0.25">
      <c r="B327" s="7"/>
      <c r="D327" s="7"/>
    </row>
    <row r="328" spans="2:4" x14ac:dyDescent="0.25">
      <c r="B328" s="7"/>
      <c r="D328" s="7"/>
    </row>
    <row r="329" spans="2:4" x14ac:dyDescent="0.25">
      <c r="B329" s="7"/>
      <c r="D329" s="7"/>
    </row>
    <row r="330" spans="2:4" x14ac:dyDescent="0.25">
      <c r="B330" s="7"/>
      <c r="D330" s="7"/>
    </row>
    <row r="331" spans="2:4" x14ac:dyDescent="0.25">
      <c r="B331" s="7"/>
      <c r="D331" s="7"/>
    </row>
    <row r="332" spans="2:4" x14ac:dyDescent="0.25">
      <c r="B332" s="7"/>
      <c r="D332" s="7"/>
    </row>
    <row r="333" spans="2:4" x14ac:dyDescent="0.25">
      <c r="B333" s="7"/>
      <c r="D333" s="7"/>
    </row>
    <row r="334" spans="2:4" x14ac:dyDescent="0.25">
      <c r="B334" s="7"/>
      <c r="D334" s="7"/>
    </row>
    <row r="335" spans="2:4" x14ac:dyDescent="0.25">
      <c r="B335" s="7"/>
      <c r="D335" s="7"/>
    </row>
    <row r="336" spans="2:4" x14ac:dyDescent="0.25">
      <c r="B336" s="7"/>
      <c r="D336" s="7"/>
    </row>
    <row r="337" spans="2:4" x14ac:dyDescent="0.25">
      <c r="B337" s="7"/>
      <c r="D337" s="7"/>
    </row>
    <row r="338" spans="2:4" x14ac:dyDescent="0.25">
      <c r="B338" s="7"/>
      <c r="D338" s="7"/>
    </row>
    <row r="339" spans="2:4" x14ac:dyDescent="0.25">
      <c r="B339" s="7"/>
      <c r="D339" s="7"/>
    </row>
    <row r="340" spans="2:4" x14ac:dyDescent="0.25">
      <c r="B340" s="7"/>
      <c r="D340" s="7"/>
    </row>
    <row r="341" spans="2:4" x14ac:dyDescent="0.25">
      <c r="B341" s="7"/>
      <c r="D341" s="7"/>
    </row>
    <row r="342" spans="2:4" x14ac:dyDescent="0.25">
      <c r="B342" s="7"/>
      <c r="D342" s="7"/>
    </row>
    <row r="343" spans="2:4" x14ac:dyDescent="0.25">
      <c r="B343" s="7"/>
      <c r="D343" s="7"/>
    </row>
    <row r="344" spans="2:4" x14ac:dyDescent="0.25">
      <c r="B344" s="7"/>
      <c r="D344" s="7"/>
    </row>
    <row r="345" spans="2:4" x14ac:dyDescent="0.25">
      <c r="B345" s="7"/>
      <c r="D345" s="7"/>
    </row>
    <row r="346" spans="2:4" x14ac:dyDescent="0.25">
      <c r="B346" s="7"/>
      <c r="D346" s="7"/>
    </row>
    <row r="347" spans="2:4" x14ac:dyDescent="0.25">
      <c r="B347" s="7"/>
      <c r="D347" s="7"/>
    </row>
    <row r="348" spans="2:4" x14ac:dyDescent="0.25">
      <c r="B348" s="7"/>
      <c r="D348" s="7"/>
    </row>
    <row r="349" spans="2:4" x14ac:dyDescent="0.25">
      <c r="B349" s="7"/>
      <c r="D349" s="7"/>
    </row>
    <row r="350" spans="2:4" x14ac:dyDescent="0.25">
      <c r="B350" s="7"/>
      <c r="D350" s="7"/>
    </row>
    <row r="351" spans="2:4" x14ac:dyDescent="0.25">
      <c r="B351" s="7"/>
      <c r="D351" s="7"/>
    </row>
    <row r="352" spans="2:4" x14ac:dyDescent="0.25">
      <c r="B352" s="7"/>
      <c r="D352" s="7"/>
    </row>
    <row r="353" spans="2:4" x14ac:dyDescent="0.25">
      <c r="B353" s="7"/>
      <c r="D353" s="7"/>
    </row>
    <row r="354" spans="2:4" x14ac:dyDescent="0.25">
      <c r="B354" s="7"/>
      <c r="D354" s="7"/>
    </row>
    <row r="355" spans="2:4" x14ac:dyDescent="0.25">
      <c r="B355" s="7"/>
      <c r="D355" s="7"/>
    </row>
    <row r="356" spans="2:4" x14ac:dyDescent="0.25">
      <c r="B356" s="7"/>
      <c r="D356" s="7"/>
    </row>
    <row r="357" spans="2:4" x14ac:dyDescent="0.25">
      <c r="B357" s="7"/>
      <c r="D357" s="7"/>
    </row>
    <row r="358" spans="2:4" x14ac:dyDescent="0.25">
      <c r="B358" s="7"/>
      <c r="D358" s="7"/>
    </row>
    <row r="359" spans="2:4" x14ac:dyDescent="0.25">
      <c r="B359" s="7"/>
      <c r="D359" s="7"/>
    </row>
    <row r="360" spans="2:4" x14ac:dyDescent="0.25">
      <c r="B360" s="7"/>
      <c r="D360" s="7"/>
    </row>
    <row r="361" spans="2:4" x14ac:dyDescent="0.25">
      <c r="B361" s="7"/>
      <c r="D361" s="7"/>
    </row>
    <row r="362" spans="2:4" x14ac:dyDescent="0.25">
      <c r="B362" s="7"/>
      <c r="D362" s="7"/>
    </row>
    <row r="363" spans="2:4" x14ac:dyDescent="0.25">
      <c r="B363" s="7"/>
      <c r="D363" s="7"/>
    </row>
    <row r="364" spans="2:4" x14ac:dyDescent="0.25">
      <c r="B364" s="7"/>
      <c r="D364" s="7"/>
    </row>
    <row r="365" spans="2:4" x14ac:dyDescent="0.25">
      <c r="B365" s="7"/>
      <c r="D365" s="7"/>
    </row>
    <row r="366" spans="2:4" x14ac:dyDescent="0.25">
      <c r="B366" s="7"/>
      <c r="D366" s="7"/>
    </row>
    <row r="367" spans="2:4" x14ac:dyDescent="0.25">
      <c r="B367" s="7"/>
      <c r="D367" s="7"/>
    </row>
    <row r="368" spans="2:4" x14ac:dyDescent="0.25">
      <c r="B368" s="7"/>
      <c r="D368" s="7"/>
    </row>
    <row r="369" spans="2:4" x14ac:dyDescent="0.25">
      <c r="B369" s="7"/>
      <c r="D369" s="7"/>
    </row>
    <row r="370" spans="2:4" x14ac:dyDescent="0.25">
      <c r="B370" s="7"/>
      <c r="D370" s="7"/>
    </row>
    <row r="371" spans="2:4" x14ac:dyDescent="0.25">
      <c r="B371" s="7"/>
      <c r="D371" s="7"/>
    </row>
    <row r="372" spans="2:4" x14ac:dyDescent="0.25">
      <c r="B372" s="7"/>
      <c r="D372" s="7"/>
    </row>
    <row r="373" spans="2:4" x14ac:dyDescent="0.25">
      <c r="B373" s="7"/>
      <c r="D373" s="7"/>
    </row>
    <row r="374" spans="2:4" x14ac:dyDescent="0.25">
      <c r="B374" s="7"/>
      <c r="D374" s="7"/>
    </row>
    <row r="375" spans="2:4" x14ac:dyDescent="0.25">
      <c r="B375" s="7"/>
      <c r="D375" s="7"/>
    </row>
    <row r="376" spans="2:4" x14ac:dyDescent="0.25">
      <c r="B376" s="7"/>
      <c r="D376" s="7"/>
    </row>
    <row r="377" spans="2:4" x14ac:dyDescent="0.25">
      <c r="B377" s="7"/>
      <c r="D377" s="7"/>
    </row>
    <row r="378" spans="2:4" x14ac:dyDescent="0.25">
      <c r="B378" s="7"/>
      <c r="D378" s="7"/>
    </row>
    <row r="379" spans="2:4" x14ac:dyDescent="0.25">
      <c r="B379" s="7"/>
      <c r="D379" s="7"/>
    </row>
    <row r="380" spans="2:4" x14ac:dyDescent="0.25">
      <c r="B380" s="7"/>
      <c r="D380" s="7"/>
    </row>
    <row r="381" spans="2:4" x14ac:dyDescent="0.25">
      <c r="B381" s="7"/>
      <c r="D381" s="7"/>
    </row>
    <row r="382" spans="2:4" x14ac:dyDescent="0.25">
      <c r="B382" s="7"/>
      <c r="D382" s="7"/>
    </row>
    <row r="383" spans="2:4" x14ac:dyDescent="0.25">
      <c r="B383" s="7"/>
      <c r="D383" s="7"/>
    </row>
    <row r="384" spans="2:4" x14ac:dyDescent="0.25">
      <c r="B384" s="7"/>
      <c r="D384" s="7"/>
    </row>
    <row r="385" spans="2:4" x14ac:dyDescent="0.25">
      <c r="B385" s="7"/>
      <c r="D385" s="7"/>
    </row>
    <row r="386" spans="2:4" x14ac:dyDescent="0.25">
      <c r="B386" s="7"/>
      <c r="D386" s="7"/>
    </row>
    <row r="387" spans="2:4" x14ac:dyDescent="0.25">
      <c r="B387" s="7"/>
      <c r="D387" s="7"/>
    </row>
    <row r="388" spans="2:4" x14ac:dyDescent="0.25">
      <c r="B388" s="7"/>
      <c r="D388" s="7"/>
    </row>
    <row r="389" spans="2:4" x14ac:dyDescent="0.25">
      <c r="B389" s="7"/>
      <c r="D389" s="7"/>
    </row>
    <row r="390" spans="2:4" x14ac:dyDescent="0.25">
      <c r="B390" s="7"/>
      <c r="D390" s="7"/>
    </row>
    <row r="391" spans="2:4" x14ac:dyDescent="0.25">
      <c r="B391" s="7"/>
      <c r="D391" s="7"/>
    </row>
    <row r="392" spans="2:4" x14ac:dyDescent="0.25">
      <c r="B392" s="7"/>
      <c r="D392" s="7"/>
    </row>
    <row r="393" spans="2:4" x14ac:dyDescent="0.25">
      <c r="B393" s="7"/>
      <c r="D393" s="7"/>
    </row>
    <row r="394" spans="2:4" x14ac:dyDescent="0.25">
      <c r="B394" s="7"/>
      <c r="D394" s="7"/>
    </row>
    <row r="395" spans="2:4" x14ac:dyDescent="0.25">
      <c r="B395" s="7"/>
      <c r="D395" s="7"/>
    </row>
    <row r="396" spans="2:4" x14ac:dyDescent="0.25">
      <c r="B396" s="7"/>
      <c r="D396" s="7"/>
    </row>
    <row r="397" spans="2:4" x14ac:dyDescent="0.25">
      <c r="B397" s="7"/>
      <c r="D397" s="7"/>
    </row>
    <row r="398" spans="2:4" x14ac:dyDescent="0.25">
      <c r="B398" s="7"/>
      <c r="D398" s="7"/>
    </row>
    <row r="399" spans="2:4" x14ac:dyDescent="0.25">
      <c r="B399" s="7"/>
      <c r="D399" s="7"/>
    </row>
    <row r="400" spans="2:4" x14ac:dyDescent="0.25">
      <c r="B400" s="7"/>
      <c r="D400" s="7"/>
    </row>
    <row r="401" spans="2:4" x14ac:dyDescent="0.25">
      <c r="B401" s="7"/>
      <c r="D401" s="7"/>
    </row>
    <row r="402" spans="2:4" x14ac:dyDescent="0.25">
      <c r="B402" s="7"/>
      <c r="D402" s="7"/>
    </row>
    <row r="403" spans="2:4" x14ac:dyDescent="0.25">
      <c r="B403" s="7"/>
      <c r="D403" s="7"/>
    </row>
    <row r="404" spans="2:4" x14ac:dyDescent="0.25">
      <c r="B404" s="7"/>
      <c r="D404" s="7"/>
    </row>
    <row r="405" spans="2:4" x14ac:dyDescent="0.25">
      <c r="B405" s="7"/>
      <c r="D405" s="7"/>
    </row>
    <row r="406" spans="2:4" x14ac:dyDescent="0.25">
      <c r="B406" s="7"/>
      <c r="D406" s="7"/>
    </row>
    <row r="407" spans="2:4" x14ac:dyDescent="0.25">
      <c r="B407" s="7"/>
      <c r="D407" s="7"/>
    </row>
    <row r="408" spans="2:4" x14ac:dyDescent="0.25">
      <c r="B408" s="7"/>
      <c r="D408" s="7"/>
    </row>
    <row r="409" spans="2:4" x14ac:dyDescent="0.25">
      <c r="B409" s="7"/>
      <c r="D409" s="7"/>
    </row>
    <row r="410" spans="2:4" x14ac:dyDescent="0.25">
      <c r="B410" s="7"/>
      <c r="D410" s="7"/>
    </row>
    <row r="411" spans="2:4" x14ac:dyDescent="0.25">
      <c r="B411" s="7"/>
      <c r="D411" s="7"/>
    </row>
    <row r="412" spans="2:4" x14ac:dyDescent="0.25">
      <c r="B412" s="7"/>
      <c r="D412" s="7"/>
    </row>
    <row r="413" spans="2:4" x14ac:dyDescent="0.25">
      <c r="B413" s="7"/>
      <c r="D413" s="7"/>
    </row>
    <row r="414" spans="2:4" x14ac:dyDescent="0.25">
      <c r="B414" s="7"/>
      <c r="D414" s="7"/>
    </row>
    <row r="415" spans="2:4" x14ac:dyDescent="0.25">
      <c r="B415" s="7"/>
      <c r="D415" s="7"/>
    </row>
    <row r="416" spans="2:4" x14ac:dyDescent="0.25">
      <c r="B416" s="7"/>
      <c r="D416" s="7"/>
    </row>
    <row r="417" spans="2:4" x14ac:dyDescent="0.25">
      <c r="B417" s="7"/>
      <c r="D417" s="7"/>
    </row>
    <row r="418" spans="2:4" x14ac:dyDescent="0.25">
      <c r="B418" s="7"/>
      <c r="D418" s="7"/>
    </row>
    <row r="419" spans="2:4" x14ac:dyDescent="0.25">
      <c r="B419" s="7"/>
      <c r="D419" s="7"/>
    </row>
    <row r="420" spans="2:4" x14ac:dyDescent="0.25">
      <c r="B420" s="7"/>
      <c r="D420" s="7"/>
    </row>
    <row r="421" spans="2:4" x14ac:dyDescent="0.25">
      <c r="B421" s="7"/>
      <c r="D421" s="7"/>
    </row>
    <row r="422" spans="2:4" x14ac:dyDescent="0.25">
      <c r="B422" s="7"/>
      <c r="D422" s="7"/>
    </row>
    <row r="423" spans="2:4" x14ac:dyDescent="0.25">
      <c r="B423" s="7"/>
      <c r="D423" s="7"/>
    </row>
    <row r="424" spans="2:4" x14ac:dyDescent="0.25">
      <c r="B424" s="7"/>
      <c r="D424" s="7"/>
    </row>
    <row r="425" spans="2:4" x14ac:dyDescent="0.25">
      <c r="B425" s="7"/>
      <c r="D425" s="7"/>
    </row>
    <row r="426" spans="2:4" x14ac:dyDescent="0.25">
      <c r="B426" s="7"/>
      <c r="D426" s="7"/>
    </row>
    <row r="427" spans="2:4" x14ac:dyDescent="0.25">
      <c r="B427" s="7"/>
      <c r="D427" s="7"/>
    </row>
    <row r="428" spans="2:4" x14ac:dyDescent="0.25">
      <c r="B428" s="7"/>
      <c r="D428" s="7"/>
    </row>
    <row r="429" spans="2:4" x14ac:dyDescent="0.25">
      <c r="B429" s="7"/>
      <c r="D429" s="7"/>
    </row>
    <row r="430" spans="2:4" x14ac:dyDescent="0.25">
      <c r="B430" s="7"/>
      <c r="D430" s="7"/>
    </row>
    <row r="431" spans="2:4" x14ac:dyDescent="0.25">
      <c r="B431" s="7"/>
      <c r="D431" s="7"/>
    </row>
    <row r="432" spans="2:4" x14ac:dyDescent="0.25">
      <c r="B432" s="7"/>
      <c r="D432" s="7"/>
    </row>
    <row r="433" spans="2:4" x14ac:dyDescent="0.25">
      <c r="B433" s="7"/>
      <c r="D433" s="7"/>
    </row>
    <row r="434" spans="2:4" x14ac:dyDescent="0.25">
      <c r="B434" s="7"/>
      <c r="D434" s="7"/>
    </row>
    <row r="435" spans="2:4" x14ac:dyDescent="0.25">
      <c r="B435" s="7"/>
      <c r="D435" s="7"/>
    </row>
    <row r="436" spans="2:4" x14ac:dyDescent="0.25">
      <c r="B436" s="7"/>
      <c r="D436" s="7"/>
    </row>
    <row r="437" spans="2:4" x14ac:dyDescent="0.25">
      <c r="B437" s="7"/>
      <c r="D437" s="7"/>
    </row>
    <row r="438" spans="2:4" x14ac:dyDescent="0.25">
      <c r="B438" s="7"/>
      <c r="D438" s="7"/>
    </row>
    <row r="439" spans="2:4" x14ac:dyDescent="0.25">
      <c r="B439" s="7"/>
      <c r="D439" s="7"/>
    </row>
    <row r="440" spans="2:4" x14ac:dyDescent="0.25">
      <c r="B440" s="7"/>
      <c r="D440" s="7"/>
    </row>
    <row r="441" spans="2:4" x14ac:dyDescent="0.25">
      <c r="B441" s="7"/>
      <c r="D441" s="7"/>
    </row>
    <row r="442" spans="2:4" x14ac:dyDescent="0.25">
      <c r="B442" s="7"/>
      <c r="D442" s="7"/>
    </row>
    <row r="443" spans="2:4" x14ac:dyDescent="0.25">
      <c r="B443" s="7"/>
      <c r="D443" s="7"/>
    </row>
    <row r="444" spans="2:4" x14ac:dyDescent="0.25">
      <c r="B444" s="7"/>
      <c r="D444" s="7"/>
    </row>
    <row r="445" spans="2:4" x14ac:dyDescent="0.25">
      <c r="B445" s="7"/>
      <c r="D445" s="7"/>
    </row>
    <row r="446" spans="2:4" x14ac:dyDescent="0.25">
      <c r="B446" s="7"/>
      <c r="D446" s="7"/>
    </row>
    <row r="447" spans="2:4" x14ac:dyDescent="0.25">
      <c r="B447" s="7"/>
      <c r="D447" s="7"/>
    </row>
    <row r="448" spans="2:4" x14ac:dyDescent="0.25">
      <c r="B448" s="7"/>
      <c r="D448" s="7"/>
    </row>
    <row r="449" spans="2:4" x14ac:dyDescent="0.25">
      <c r="B449" s="7"/>
      <c r="D449" s="7"/>
    </row>
    <row r="450" spans="2:4" x14ac:dyDescent="0.25">
      <c r="B450" s="7"/>
      <c r="D450" s="7"/>
    </row>
    <row r="451" spans="2:4" x14ac:dyDescent="0.25">
      <c r="B451" s="7"/>
      <c r="D451" s="7"/>
    </row>
    <row r="452" spans="2:4" x14ac:dyDescent="0.25">
      <c r="B452" s="7"/>
      <c r="D452" s="7"/>
    </row>
    <row r="453" spans="2:4" x14ac:dyDescent="0.25">
      <c r="B453" s="7"/>
      <c r="D453" s="7"/>
    </row>
    <row r="454" spans="2:4" x14ac:dyDescent="0.25">
      <c r="B454" s="7"/>
      <c r="D454" s="7"/>
    </row>
    <row r="455" spans="2:4" x14ac:dyDescent="0.25">
      <c r="B455" s="7"/>
      <c r="D455" s="7"/>
    </row>
    <row r="456" spans="2:4" x14ac:dyDescent="0.25">
      <c r="B456" s="7"/>
      <c r="D456" s="7"/>
    </row>
    <row r="457" spans="2:4" x14ac:dyDescent="0.25">
      <c r="B457" s="7"/>
      <c r="D457" s="7"/>
    </row>
    <row r="458" spans="2:4" x14ac:dyDescent="0.25">
      <c r="B458" s="7"/>
      <c r="D458" s="7"/>
    </row>
    <row r="459" spans="2:4" x14ac:dyDescent="0.25">
      <c r="B459" s="7"/>
      <c r="D459" s="7"/>
    </row>
    <row r="460" spans="2:4" x14ac:dyDescent="0.25">
      <c r="B460" s="7"/>
      <c r="D460" s="7"/>
    </row>
    <row r="461" spans="2:4" x14ac:dyDescent="0.25">
      <c r="B461" s="7"/>
      <c r="D461" s="7"/>
    </row>
    <row r="462" spans="2:4" x14ac:dyDescent="0.25">
      <c r="B462" s="7"/>
      <c r="D462" s="7"/>
    </row>
    <row r="463" spans="2:4" x14ac:dyDescent="0.25">
      <c r="B463" s="7"/>
      <c r="D463" s="7"/>
    </row>
    <row r="464" spans="2:4" x14ac:dyDescent="0.25">
      <c r="B464" s="7"/>
      <c r="D464" s="7"/>
    </row>
    <row r="465" spans="2:4" x14ac:dyDescent="0.25">
      <c r="B465" s="7"/>
      <c r="D465" s="7"/>
    </row>
    <row r="466" spans="2:4" x14ac:dyDescent="0.25">
      <c r="B466" s="7"/>
      <c r="D466" s="7"/>
    </row>
    <row r="467" spans="2:4" x14ac:dyDescent="0.25">
      <c r="B467" s="7"/>
      <c r="D467" s="7"/>
    </row>
    <row r="468" spans="2:4" x14ac:dyDescent="0.25">
      <c r="B468" s="7"/>
      <c r="D468" s="7"/>
    </row>
    <row r="469" spans="2:4" x14ac:dyDescent="0.25">
      <c r="B469" s="7"/>
      <c r="D469" s="7"/>
    </row>
    <row r="470" spans="2:4" x14ac:dyDescent="0.25">
      <c r="B470" s="7"/>
      <c r="D470" s="7"/>
    </row>
    <row r="471" spans="2:4" x14ac:dyDescent="0.25">
      <c r="B471" s="7"/>
      <c r="D471" s="7"/>
    </row>
    <row r="472" spans="2:4" x14ac:dyDescent="0.25">
      <c r="B472" s="7"/>
      <c r="D472" s="7"/>
    </row>
    <row r="473" spans="2:4" x14ac:dyDescent="0.25">
      <c r="B473" s="7"/>
      <c r="D473" s="7"/>
    </row>
    <row r="474" spans="2:4" x14ac:dyDescent="0.25">
      <c r="B474" s="7"/>
      <c r="D474" s="7"/>
    </row>
    <row r="475" spans="2:4" x14ac:dyDescent="0.25">
      <c r="B475" s="7"/>
      <c r="D475" s="7"/>
    </row>
    <row r="476" spans="2:4" x14ac:dyDescent="0.25">
      <c r="B476" s="7"/>
      <c r="D476" s="7"/>
    </row>
    <row r="477" spans="2:4" x14ac:dyDescent="0.25">
      <c r="B477" s="7"/>
      <c r="D477" s="7"/>
    </row>
    <row r="478" spans="2:4" x14ac:dyDescent="0.25">
      <c r="B478" s="7"/>
      <c r="D478" s="7"/>
    </row>
    <row r="479" spans="2:4" x14ac:dyDescent="0.25">
      <c r="B479" s="7"/>
      <c r="D479" s="7"/>
    </row>
    <row r="480" spans="2:4" x14ac:dyDescent="0.25">
      <c r="B480" s="7"/>
      <c r="D480" s="7"/>
    </row>
    <row r="481" spans="2:4" x14ac:dyDescent="0.25">
      <c r="B481" s="7"/>
      <c r="D481" s="7"/>
    </row>
    <row r="482" spans="2:4" x14ac:dyDescent="0.25">
      <c r="B482" s="7"/>
      <c r="D482" s="7"/>
    </row>
    <row r="483" spans="2:4" x14ac:dyDescent="0.25">
      <c r="B483" s="7"/>
      <c r="D483" s="7"/>
    </row>
    <row r="484" spans="2:4" x14ac:dyDescent="0.25">
      <c r="B484" s="7"/>
      <c r="D484" s="7"/>
    </row>
    <row r="485" spans="2:4" x14ac:dyDescent="0.25">
      <c r="B485" s="7"/>
      <c r="D485" s="7"/>
    </row>
    <row r="486" spans="2:4" x14ac:dyDescent="0.25">
      <c r="B486" s="7"/>
      <c r="D486" s="7"/>
    </row>
    <row r="487" spans="2:4" x14ac:dyDescent="0.25">
      <c r="B487" s="7"/>
      <c r="D487" s="7"/>
    </row>
    <row r="488" spans="2:4" x14ac:dyDescent="0.25">
      <c r="B488" s="7"/>
      <c r="D488" s="7"/>
    </row>
    <row r="489" spans="2:4" x14ac:dyDescent="0.25">
      <c r="B489" s="7"/>
      <c r="D489" s="7"/>
    </row>
    <row r="490" spans="2:4" x14ac:dyDescent="0.25">
      <c r="B490" s="7"/>
      <c r="D490" s="7"/>
    </row>
    <row r="491" spans="2:4" x14ac:dyDescent="0.25">
      <c r="B491" s="7"/>
      <c r="D491" s="7"/>
    </row>
    <row r="492" spans="2:4" x14ac:dyDescent="0.25">
      <c r="B492" s="7"/>
      <c r="D492" s="7"/>
    </row>
    <row r="493" spans="2:4" x14ac:dyDescent="0.25">
      <c r="B493" s="7"/>
      <c r="D493" s="7"/>
    </row>
    <row r="494" spans="2:4" x14ac:dyDescent="0.25">
      <c r="B494" s="7"/>
      <c r="D494" s="7"/>
    </row>
    <row r="495" spans="2:4" x14ac:dyDescent="0.25">
      <c r="B495" s="7"/>
      <c r="D495" s="7"/>
    </row>
    <row r="496" spans="2:4" x14ac:dyDescent="0.25">
      <c r="B496" s="7"/>
      <c r="D496" s="7"/>
    </row>
    <row r="497" spans="2:4" x14ac:dyDescent="0.25">
      <c r="B497" s="7"/>
      <c r="D497" s="7"/>
    </row>
    <row r="498" spans="2:4" x14ac:dyDescent="0.25">
      <c r="B498" s="7"/>
      <c r="D498" s="7"/>
    </row>
    <row r="499" spans="2:4" x14ac:dyDescent="0.25">
      <c r="B499" s="7"/>
      <c r="D499" s="7"/>
    </row>
    <row r="500" spans="2:4" x14ac:dyDescent="0.25">
      <c r="B500" s="7"/>
      <c r="D500" s="7"/>
    </row>
    <row r="501" spans="2:4" x14ac:dyDescent="0.25">
      <c r="B501" s="7"/>
      <c r="D501" s="7"/>
    </row>
    <row r="502" spans="2:4" x14ac:dyDescent="0.25">
      <c r="B502" s="7"/>
      <c r="D502" s="7"/>
    </row>
    <row r="503" spans="2:4" x14ac:dyDescent="0.25">
      <c r="B503" s="7"/>
      <c r="D503" s="7"/>
    </row>
    <row r="504" spans="2:4" x14ac:dyDescent="0.25">
      <c r="B504" s="7"/>
      <c r="D504" s="7"/>
    </row>
    <row r="505" spans="2:4" x14ac:dyDescent="0.25">
      <c r="B505" s="7"/>
      <c r="D505" s="7"/>
    </row>
    <row r="506" spans="2:4" x14ac:dyDescent="0.25">
      <c r="B506" s="7"/>
      <c r="D506" s="7"/>
    </row>
    <row r="507" spans="2:4" x14ac:dyDescent="0.25">
      <c r="B507" s="7"/>
      <c r="D507" s="7"/>
    </row>
    <row r="508" spans="2:4" x14ac:dyDescent="0.25">
      <c r="B508" s="7"/>
      <c r="D508" s="7"/>
    </row>
    <row r="509" spans="2:4" x14ac:dyDescent="0.25">
      <c r="B509" s="7"/>
      <c r="D509" s="7"/>
    </row>
    <row r="510" spans="2:4" x14ac:dyDescent="0.25">
      <c r="B510" s="7"/>
      <c r="D510" s="7"/>
    </row>
    <row r="511" spans="2:4" x14ac:dyDescent="0.25">
      <c r="B511" s="7"/>
      <c r="D511" s="7"/>
    </row>
    <row r="512" spans="2:4" x14ac:dyDescent="0.25">
      <c r="B512" s="7"/>
      <c r="D512" s="7"/>
    </row>
    <row r="513" spans="2:4" x14ac:dyDescent="0.25">
      <c r="B513" s="7"/>
      <c r="D513" s="7"/>
    </row>
    <row r="514" spans="2:4" x14ac:dyDescent="0.25">
      <c r="B514" s="7"/>
      <c r="D514" s="7"/>
    </row>
    <row r="515" spans="2:4" x14ac:dyDescent="0.25">
      <c r="B515" s="7"/>
      <c r="D515" s="7"/>
    </row>
    <row r="516" spans="2:4" x14ac:dyDescent="0.25">
      <c r="B516" s="7"/>
      <c r="D516" s="7"/>
    </row>
    <row r="517" spans="2:4" x14ac:dyDescent="0.25">
      <c r="B517" s="7"/>
      <c r="D517" s="7"/>
    </row>
    <row r="518" spans="2:4" x14ac:dyDescent="0.25">
      <c r="B518" s="7"/>
      <c r="D518" s="7"/>
    </row>
    <row r="519" spans="2:4" x14ac:dyDescent="0.25">
      <c r="B519" s="7"/>
      <c r="D519" s="7"/>
    </row>
    <row r="520" spans="2:4" x14ac:dyDescent="0.25">
      <c r="B520" s="7"/>
      <c r="D520" s="7"/>
    </row>
    <row r="521" spans="2:4" x14ac:dyDescent="0.25">
      <c r="B521" s="7"/>
      <c r="D521" s="7"/>
    </row>
    <row r="522" spans="2:4" x14ac:dyDescent="0.25">
      <c r="B522" s="7"/>
      <c r="D522" s="7"/>
    </row>
    <row r="523" spans="2:4" x14ac:dyDescent="0.25">
      <c r="B523" s="7"/>
      <c r="D523" s="7"/>
    </row>
    <row r="524" spans="2:4" x14ac:dyDescent="0.25">
      <c r="B524" s="7"/>
      <c r="D524" s="7"/>
    </row>
    <row r="525" spans="2:4" x14ac:dyDescent="0.25">
      <c r="B525" s="7"/>
      <c r="D525" s="7"/>
    </row>
    <row r="526" spans="2:4" x14ac:dyDescent="0.25">
      <c r="B526" s="7"/>
      <c r="D526" s="7"/>
    </row>
    <row r="527" spans="2:4" x14ac:dyDescent="0.25">
      <c r="B527" s="7"/>
      <c r="D527" s="7"/>
    </row>
    <row r="528" spans="2:4" x14ac:dyDescent="0.25">
      <c r="B528" s="7"/>
      <c r="D528" s="7"/>
    </row>
    <row r="529" spans="2:4" x14ac:dyDescent="0.25">
      <c r="B529" s="7"/>
      <c r="D529" s="7"/>
    </row>
    <row r="530" spans="2:4" x14ac:dyDescent="0.25">
      <c r="B530" s="7"/>
      <c r="D530" s="7"/>
    </row>
    <row r="531" spans="2:4" x14ac:dyDescent="0.25">
      <c r="B531" s="7"/>
      <c r="D531" s="7"/>
    </row>
    <row r="532" spans="2:4" x14ac:dyDescent="0.25">
      <c r="B532" s="7"/>
      <c r="D532" s="7"/>
    </row>
    <row r="533" spans="2:4" x14ac:dyDescent="0.25">
      <c r="B533" s="7"/>
      <c r="D533" s="7"/>
    </row>
    <row r="534" spans="2:4" x14ac:dyDescent="0.25">
      <c r="B534" s="7"/>
      <c r="D534" s="7"/>
    </row>
    <row r="535" spans="2:4" x14ac:dyDescent="0.25">
      <c r="B535" s="7"/>
      <c r="D535" s="7"/>
    </row>
    <row r="536" spans="2:4" x14ac:dyDescent="0.25">
      <c r="B536" s="7"/>
      <c r="D536" s="7"/>
    </row>
    <row r="537" spans="2:4" x14ac:dyDescent="0.25">
      <c r="B537" s="7"/>
      <c r="D537" s="7"/>
    </row>
    <row r="538" spans="2:4" x14ac:dyDescent="0.25">
      <c r="B538" s="7"/>
      <c r="D538" s="7"/>
    </row>
    <row r="539" spans="2:4" x14ac:dyDescent="0.25">
      <c r="B539" s="7"/>
      <c r="D539" s="7"/>
    </row>
    <row r="540" spans="2:4" x14ac:dyDescent="0.25">
      <c r="B540" s="7"/>
      <c r="D540" s="7"/>
    </row>
    <row r="541" spans="2:4" x14ac:dyDescent="0.25">
      <c r="B541" s="7"/>
      <c r="D541" s="7"/>
    </row>
    <row r="542" spans="2:4" x14ac:dyDescent="0.25">
      <c r="B542" s="7"/>
      <c r="D542" s="7"/>
    </row>
    <row r="543" spans="2:4" x14ac:dyDescent="0.25">
      <c r="B543" s="7"/>
      <c r="D543" s="7"/>
    </row>
    <row r="544" spans="2:4" x14ac:dyDescent="0.25">
      <c r="B544" s="7"/>
      <c r="D544" s="7"/>
    </row>
    <row r="545" spans="2:4" x14ac:dyDescent="0.25">
      <c r="B545" s="7"/>
      <c r="D545" s="7"/>
    </row>
    <row r="546" spans="2:4" x14ac:dyDescent="0.25">
      <c r="B546" s="7"/>
      <c r="D546" s="7"/>
    </row>
    <row r="547" spans="2:4" x14ac:dyDescent="0.25">
      <c r="B547" s="7"/>
      <c r="D547" s="7"/>
    </row>
    <row r="548" spans="2:4" x14ac:dyDescent="0.25">
      <c r="B548" s="7"/>
      <c r="D548" s="7"/>
    </row>
    <row r="549" spans="2:4" x14ac:dyDescent="0.25">
      <c r="B549" s="7"/>
      <c r="D549" s="7"/>
    </row>
    <row r="550" spans="2:4" x14ac:dyDescent="0.25">
      <c r="B550" s="7"/>
      <c r="D550" s="7"/>
    </row>
    <row r="551" spans="2:4" x14ac:dyDescent="0.25">
      <c r="B551" s="7"/>
      <c r="D551" s="7"/>
    </row>
    <row r="552" spans="2:4" x14ac:dyDescent="0.25">
      <c r="B552" s="7"/>
      <c r="D552" s="7"/>
    </row>
    <row r="553" spans="2:4" x14ac:dyDescent="0.25">
      <c r="B553" s="7"/>
      <c r="D553" s="7"/>
    </row>
    <row r="554" spans="2:4" x14ac:dyDescent="0.25">
      <c r="B554" s="7"/>
      <c r="D554" s="7"/>
    </row>
    <row r="555" spans="2:4" x14ac:dyDescent="0.25">
      <c r="B555" s="7"/>
      <c r="D555" s="7"/>
    </row>
    <row r="556" spans="2:4" x14ac:dyDescent="0.25">
      <c r="B556" s="7"/>
      <c r="D556" s="7"/>
    </row>
    <row r="557" spans="2:4" x14ac:dyDescent="0.25">
      <c r="B557" s="7"/>
      <c r="D557" s="7"/>
    </row>
    <row r="558" spans="2:4" x14ac:dyDescent="0.25">
      <c r="B558" s="7"/>
      <c r="D558" s="7"/>
    </row>
    <row r="559" spans="2:4" x14ac:dyDescent="0.25">
      <c r="B559" s="7"/>
      <c r="D559" s="7"/>
    </row>
    <row r="560" spans="2:4" x14ac:dyDescent="0.25">
      <c r="B560" s="7"/>
      <c r="D560" s="7"/>
    </row>
    <row r="561" spans="2:4" x14ac:dyDescent="0.25">
      <c r="B561" s="7"/>
      <c r="D561" s="7"/>
    </row>
    <row r="562" spans="2:4" x14ac:dyDescent="0.25">
      <c r="B562" s="7"/>
      <c r="D562" s="7"/>
    </row>
    <row r="563" spans="2:4" x14ac:dyDescent="0.25">
      <c r="B563" s="7"/>
      <c r="D563" s="7"/>
    </row>
    <row r="564" spans="2:4" x14ac:dyDescent="0.25">
      <c r="B564" s="7"/>
      <c r="D564" s="7"/>
    </row>
    <row r="565" spans="2:4" x14ac:dyDescent="0.25">
      <c r="B565" s="7"/>
      <c r="D565" s="7"/>
    </row>
    <row r="566" spans="2:4" x14ac:dyDescent="0.25">
      <c r="B566" s="7"/>
      <c r="D566" s="7"/>
    </row>
    <row r="567" spans="2:4" x14ac:dyDescent="0.25">
      <c r="B567" s="7"/>
      <c r="D567" s="7"/>
    </row>
    <row r="568" spans="2:4" x14ac:dyDescent="0.25">
      <c r="B568" s="7"/>
      <c r="D568" s="7"/>
    </row>
    <row r="569" spans="2:4" x14ac:dyDescent="0.25">
      <c r="B569" s="7"/>
      <c r="D569" s="7"/>
    </row>
    <row r="570" spans="2:4" x14ac:dyDescent="0.25">
      <c r="B570" s="7"/>
    </row>
    <row r="571" spans="2:4" x14ac:dyDescent="0.25">
      <c r="B571" s="7"/>
    </row>
    <row r="572" spans="2:4" x14ac:dyDescent="0.25">
      <c r="B572" s="7"/>
    </row>
    <row r="573" spans="2:4" x14ac:dyDescent="0.25">
      <c r="B573" s="7"/>
    </row>
    <row r="574" spans="2:4" x14ac:dyDescent="0.25">
      <c r="B574" s="7"/>
    </row>
    <row r="575" spans="2:4" x14ac:dyDescent="0.25">
      <c r="B575" s="7"/>
    </row>
    <row r="576" spans="2:4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</sheetData>
  <mergeCells count="24">
    <mergeCell ref="E16:E19"/>
    <mergeCell ref="G13:G15"/>
    <mergeCell ref="I13:K15"/>
    <mergeCell ref="F16:F19"/>
    <mergeCell ref="H13:H15"/>
    <mergeCell ref="H16:H19"/>
    <mergeCell ref="G16:G19"/>
    <mergeCell ref="I16:K19"/>
    <mergeCell ref="AC9:AD9"/>
    <mergeCell ref="E20:E29"/>
    <mergeCell ref="F20:F29"/>
    <mergeCell ref="G20:G29"/>
    <mergeCell ref="I20:K29"/>
    <mergeCell ref="H20:H29"/>
    <mergeCell ref="N10:Y10"/>
    <mergeCell ref="Z9:AA9"/>
    <mergeCell ref="E10:E12"/>
    <mergeCell ref="F10:F12"/>
    <mergeCell ref="G10:G12"/>
    <mergeCell ref="I10:K12"/>
    <mergeCell ref="H10:H12"/>
    <mergeCell ref="H9:K9"/>
    <mergeCell ref="E13:E15"/>
    <mergeCell ref="F13:F15"/>
  </mergeCells>
  <dataValidations count="2">
    <dataValidation type="list" allowBlank="1" showInputMessage="1" showErrorMessage="1" sqref="C3">
      <formula1>"English,Metric"</formula1>
    </dataValidation>
    <dataValidation type="list" allowBlank="1" showInputMessage="1" showErrorMessage="1" errorTitle="Error" error="If the unit is english; LDT must be one of the 2-inc diameter classes between 18 and 40 inches. If unit is metric, LDT must be one of the 5-cm diameter classes between 45 and 100 cm." sqref="C4">
      <formula1>INDIRECT($C$3)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"/>
    </sheetView>
  </sheetViews>
  <sheetFormatPr defaultRowHeight="15" x14ac:dyDescent="0.25"/>
  <sheetData>
    <row r="1" spans="1:3" x14ac:dyDescent="0.25">
      <c r="A1" s="42" t="s">
        <v>3</v>
      </c>
      <c r="B1" s="42">
        <v>18</v>
      </c>
      <c r="C1" s="42">
        <v>45</v>
      </c>
    </row>
    <row r="2" spans="1:3" x14ac:dyDescent="0.25">
      <c r="A2" s="42" t="s">
        <v>11</v>
      </c>
      <c r="B2" s="42">
        <v>20</v>
      </c>
      <c r="C2" s="42">
        <v>50</v>
      </c>
    </row>
    <row r="3" spans="1:3" x14ac:dyDescent="0.25">
      <c r="A3" s="42"/>
      <c r="B3" s="42">
        <v>22</v>
      </c>
      <c r="C3" s="42">
        <v>55</v>
      </c>
    </row>
    <row r="4" spans="1:3" x14ac:dyDescent="0.25">
      <c r="A4" s="42"/>
      <c r="B4" s="42">
        <v>24</v>
      </c>
      <c r="C4" s="42">
        <v>60</v>
      </c>
    </row>
    <row r="5" spans="1:3" x14ac:dyDescent="0.25">
      <c r="A5" s="42"/>
      <c r="B5" s="42">
        <v>26</v>
      </c>
      <c r="C5" s="42">
        <v>65</v>
      </c>
    </row>
    <row r="6" spans="1:3" x14ac:dyDescent="0.25">
      <c r="A6" s="42"/>
      <c r="B6" s="42">
        <v>28</v>
      </c>
      <c r="C6" s="42">
        <v>70</v>
      </c>
    </row>
    <row r="7" spans="1:3" x14ac:dyDescent="0.25">
      <c r="A7" s="42"/>
      <c r="B7" s="42">
        <v>30</v>
      </c>
      <c r="C7" s="42">
        <v>75</v>
      </c>
    </row>
    <row r="8" spans="1:3" x14ac:dyDescent="0.25">
      <c r="A8" s="42"/>
      <c r="B8" s="42">
        <v>32</v>
      </c>
      <c r="C8" s="42">
        <v>80</v>
      </c>
    </row>
    <row r="9" spans="1:3" x14ac:dyDescent="0.25">
      <c r="A9" s="42"/>
      <c r="B9" s="42">
        <v>34</v>
      </c>
      <c r="C9" s="42">
        <v>85</v>
      </c>
    </row>
    <row r="10" spans="1:3" x14ac:dyDescent="0.25">
      <c r="A10" s="42"/>
      <c r="B10" s="42">
        <v>36</v>
      </c>
      <c r="C10" s="42">
        <v>90</v>
      </c>
    </row>
    <row r="11" spans="1:3" x14ac:dyDescent="0.25">
      <c r="A11" s="42"/>
      <c r="B11" s="42">
        <v>38</v>
      </c>
      <c r="C11" s="42">
        <v>95</v>
      </c>
    </row>
    <row r="12" spans="1:3" x14ac:dyDescent="0.25">
      <c r="A12" s="42"/>
      <c r="B12" s="42">
        <v>40</v>
      </c>
      <c r="C12" s="42">
        <v>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q-value</vt:lpstr>
      <vt:lpstr>Sheet1</vt:lpstr>
      <vt:lpstr>English</vt:lpstr>
      <vt:lpstr>Metric</vt:lpstr>
      <vt:lpstr>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Kara</dc:creator>
  <cp:lastModifiedBy>Edward Loewenstein</cp:lastModifiedBy>
  <dcterms:created xsi:type="dcterms:W3CDTF">2015-07-22T20:27:12Z</dcterms:created>
  <dcterms:modified xsi:type="dcterms:W3CDTF">2018-09-07T19:49:20Z</dcterms:modified>
</cp:coreProperties>
</file>